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.xml" ContentType="application/vnd.openxmlformats-officedocument.themeOverrid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2.xml" ContentType="application/vnd.openxmlformats-officedocument.themeOverrid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3.xml" ContentType="application/vnd.openxmlformats-officedocument.themeOverride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PDEA\Projects\Enforceable Agreements\!_JLEO publication submission\Remaining tables directly from the LatentGOLD output\"/>
    </mc:Choice>
  </mc:AlternateContent>
  <xr:revisionPtr revIDLastSave="0" documentId="13_ncr:1_{335D6EDD-476C-4B67-8EDB-B7FFA4F0A15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Table D2a" sheetId="39" r:id="rId1"/>
    <sheet name="Figure D1a and D6-suppliers" sheetId="2" r:id="rId2"/>
    <sheet name="Figure D2a-D5-suppliers" sheetId="31" r:id="rId3"/>
    <sheet name="a1 results" sheetId="1" r:id="rId4"/>
    <sheet name="h7a" sheetId="7" r:id="rId5"/>
    <sheet name="h30" sheetId="8" r:id="rId6"/>
    <sheet name="ASCj16" sheetId="19" r:id="rId7"/>
    <sheet name="ASCj19" sheetId="49" r:id="rId8"/>
    <sheet name="sector_3" sheetId="20" r:id="rId9"/>
    <sheet name="isic" sheetId="53" r:id="rId10"/>
    <sheet name="mgmt" sheetId="28" r:id="rId11"/>
    <sheet name="b7" sheetId="16" r:id="rId12"/>
    <sheet name="size4" sheetId="9" r:id="rId13"/>
    <sheet name="Age cont" sheetId="6" r:id="rId14"/>
    <sheet name="b2a" sheetId="11" r:id="rId15"/>
    <sheet name="car7" sheetId="14" r:id="rId16"/>
    <sheet name="tr16" sheetId="26" r:id="rId17"/>
    <sheet name="b4a" sheetId="15" r:id="rId18"/>
    <sheet name="gend4" sheetId="24" r:id="rId19"/>
    <sheet name="e1" sheetId="17" r:id="rId20"/>
    <sheet name="a7" sheetId="35" r:id="rId21"/>
    <sheet name="b1" sheetId="36" r:id="rId22"/>
    <sheet name="lform3" sheetId="38" r:id="rId23"/>
    <sheet name="shareholding" sheetId="47" r:id="rId24"/>
    <sheet name="ASCd7" sheetId="4" r:id="rId25"/>
    <sheet name="graft2 exp" sheetId="33" r:id="rId26"/>
    <sheet name="graft3 exp" sheetId="34" r:id="rId27"/>
    <sheet name="crime1" sheetId="23" r:id="rId28"/>
  </sheets>
  <definedNames>
    <definedName name="_xlnm._FilterDatabase" localSheetId="2" hidden="1">'Figure D2a-D5-suppliers'!#REF!</definedName>
    <definedName name="_xlnm._FilterDatabase" localSheetId="0" hidden="1">'Table D2a'!$A$1:$J$26</definedName>
    <definedName name="solver_typ" localSheetId="21" hidden="1">2</definedName>
    <definedName name="solver_typ" localSheetId="2" hidden="1">2</definedName>
    <definedName name="solver_typ" localSheetId="0" hidden="1">2</definedName>
    <definedName name="solver_ver" localSheetId="21" hidden="1">17</definedName>
    <definedName name="solver_ver" localSheetId="2" hidden="1">17</definedName>
    <definedName name="solver_ver" localSheetId="0" hidden="1">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39" l="1"/>
  <c r="EW9" i="31"/>
  <c r="EX9" i="31"/>
  <c r="EY9" i="31"/>
  <c r="EZ9" i="31"/>
  <c r="FA9" i="31"/>
  <c r="FB9" i="31"/>
  <c r="FC9" i="31"/>
  <c r="FD9" i="31"/>
  <c r="EW10" i="31"/>
  <c r="EX10" i="31"/>
  <c r="EY10" i="31"/>
  <c r="EZ10" i="31"/>
  <c r="FA10" i="31"/>
  <c r="FB10" i="31"/>
  <c r="FC10" i="31"/>
  <c r="FD10" i="31"/>
  <c r="EW11" i="31"/>
  <c r="EX11" i="31"/>
  <c r="EY11" i="31"/>
  <c r="EZ11" i="31"/>
  <c r="FA11" i="31"/>
  <c r="FB11" i="31"/>
  <c r="FC11" i="31"/>
  <c r="FD11" i="31"/>
  <c r="EW12" i="31"/>
  <c r="EX12" i="31"/>
  <c r="EY12" i="31"/>
  <c r="EZ12" i="31"/>
  <c r="FA12" i="31"/>
  <c r="FB12" i="31"/>
  <c r="FC12" i="31"/>
  <c r="FD12" i="31"/>
  <c r="EW13" i="31"/>
  <c r="EX13" i="31"/>
  <c r="EY13" i="31"/>
  <c r="EZ13" i="31"/>
  <c r="FA13" i="31"/>
  <c r="FB13" i="31"/>
  <c r="FC13" i="31"/>
  <c r="FD13" i="31"/>
  <c r="EW14" i="31"/>
  <c r="EX14" i="31"/>
  <c r="EY14" i="31"/>
  <c r="EZ14" i="31"/>
  <c r="FA14" i="31"/>
  <c r="FB14" i="31"/>
  <c r="FC14" i="31"/>
  <c r="FD14" i="31"/>
  <c r="EW15" i="31"/>
  <c r="EX15" i="31"/>
  <c r="EY15" i="31"/>
  <c r="EZ15" i="31"/>
  <c r="FA15" i="31"/>
  <c r="FB15" i="31"/>
  <c r="FC15" i="31"/>
  <c r="FD15" i="31"/>
  <c r="EW16" i="31"/>
  <c r="EX16" i="31"/>
  <c r="EY16" i="31"/>
  <c r="EZ16" i="31"/>
  <c r="FA16" i="31"/>
  <c r="FB16" i="31"/>
  <c r="FC16" i="31"/>
  <c r="FD16" i="31"/>
  <c r="EW17" i="31"/>
  <c r="EX17" i="31"/>
  <c r="EY17" i="31"/>
  <c r="EZ17" i="31"/>
  <c r="FA17" i="31"/>
  <c r="FB17" i="31"/>
  <c r="FC17" i="31"/>
  <c r="FD17" i="31"/>
  <c r="EW18" i="31"/>
  <c r="EX18" i="31"/>
  <c r="EY18" i="31"/>
  <c r="EZ18" i="31"/>
  <c r="FA18" i="31"/>
  <c r="FB18" i="31"/>
  <c r="FC18" i="31"/>
  <c r="FD18" i="31"/>
  <c r="EW19" i="31"/>
  <c r="EX19" i="31"/>
  <c r="EY19" i="31"/>
  <c r="EZ19" i="31"/>
  <c r="FA19" i="31"/>
  <c r="FB19" i="31"/>
  <c r="FC19" i="31"/>
  <c r="FD19" i="31"/>
  <c r="EW20" i="31"/>
  <c r="EX20" i="31"/>
  <c r="EY20" i="31"/>
  <c r="EZ20" i="31"/>
  <c r="FA20" i="31"/>
  <c r="FB20" i="31"/>
  <c r="FC20" i="31"/>
  <c r="FD20" i="31"/>
  <c r="EW21" i="31"/>
  <c r="EX21" i="31"/>
  <c r="EY21" i="31"/>
  <c r="EZ21" i="31"/>
  <c r="FA21" i="31"/>
  <c r="FB21" i="31"/>
  <c r="FC21" i="31"/>
  <c r="FD21" i="31"/>
  <c r="EW22" i="31"/>
  <c r="EX22" i="31"/>
  <c r="EY22" i="31"/>
  <c r="EZ22" i="31"/>
  <c r="FA22" i="31"/>
  <c r="FB22" i="31"/>
  <c r="FC22" i="31"/>
  <c r="FD22" i="31"/>
  <c r="EW23" i="31"/>
  <c r="EX23" i="31"/>
  <c r="EY23" i="31"/>
  <c r="EZ23" i="31"/>
  <c r="FA23" i="31"/>
  <c r="FB23" i="31"/>
  <c r="FC23" i="31"/>
  <c r="FD23" i="31"/>
  <c r="EW24" i="31"/>
  <c r="EX24" i="31"/>
  <c r="EY24" i="31"/>
  <c r="EZ24" i="31"/>
  <c r="FA24" i="31"/>
  <c r="FB24" i="31"/>
  <c r="FC24" i="31"/>
  <c r="FD24" i="31"/>
  <c r="EW25" i="31"/>
  <c r="EX25" i="31"/>
  <c r="EY25" i="31"/>
  <c r="EZ25" i="31"/>
  <c r="FA25" i="31"/>
  <c r="FB25" i="31"/>
  <c r="FC25" i="31"/>
  <c r="FD25" i="31"/>
  <c r="EW26" i="31"/>
  <c r="EX26" i="31"/>
  <c r="EY26" i="31"/>
  <c r="EZ26" i="31"/>
  <c r="FA26" i="31"/>
  <c r="FB26" i="31"/>
  <c r="FC26" i="31"/>
  <c r="FD26" i="31"/>
  <c r="EW27" i="31"/>
  <c r="EX27" i="31"/>
  <c r="EY27" i="31"/>
  <c r="EZ27" i="31"/>
  <c r="FA27" i="31"/>
  <c r="FB27" i="31"/>
  <c r="FC27" i="31"/>
  <c r="FD27" i="31"/>
  <c r="EW28" i="31"/>
  <c r="EX28" i="31"/>
  <c r="EY28" i="31"/>
  <c r="EZ28" i="31"/>
  <c r="FA28" i="31"/>
  <c r="FB28" i="31"/>
  <c r="FC28" i="31"/>
  <c r="FD28" i="31"/>
  <c r="EW29" i="31"/>
  <c r="EX29" i="31"/>
  <c r="EY29" i="31"/>
  <c r="EZ29" i="31"/>
  <c r="FA29" i="31"/>
  <c r="FB29" i="31"/>
  <c r="FC29" i="31"/>
  <c r="FD29" i="31"/>
  <c r="EW30" i="31"/>
  <c r="EX30" i="31"/>
  <c r="EY30" i="31"/>
  <c r="EZ30" i="31"/>
  <c r="FA30" i="31"/>
  <c r="FB30" i="31"/>
  <c r="FC30" i="31"/>
  <c r="FD30" i="31"/>
  <c r="EW31" i="31"/>
  <c r="EX31" i="31"/>
  <c r="EY31" i="31"/>
  <c r="EZ31" i="31"/>
  <c r="FA31" i="31"/>
  <c r="FB31" i="31"/>
  <c r="FC31" i="31"/>
  <c r="FD31" i="31"/>
  <c r="EW32" i="31"/>
  <c r="EX32" i="31"/>
  <c r="EY32" i="31"/>
  <c r="EZ32" i="31"/>
  <c r="FA32" i="31"/>
  <c r="FB32" i="31"/>
  <c r="FC32" i="31"/>
  <c r="FD32" i="31"/>
  <c r="EW33" i="31"/>
  <c r="EX33" i="31"/>
  <c r="EY33" i="31"/>
  <c r="EZ33" i="31"/>
  <c r="FA33" i="31"/>
  <c r="FB33" i="31"/>
  <c r="FC33" i="31"/>
  <c r="FD33" i="31"/>
  <c r="EW34" i="31"/>
  <c r="EX34" i="31"/>
  <c r="EY34" i="31"/>
  <c r="EZ34" i="31"/>
  <c r="FA34" i="31"/>
  <c r="FB34" i="31"/>
  <c r="FC34" i="31"/>
  <c r="FD34" i="31"/>
  <c r="EW35" i="31"/>
  <c r="EX35" i="31"/>
  <c r="EY35" i="31"/>
  <c r="EZ35" i="31"/>
  <c r="FA35" i="31"/>
  <c r="FB35" i="31"/>
  <c r="FC35" i="31"/>
  <c r="FD35" i="31"/>
  <c r="EW36" i="31"/>
  <c r="EX36" i="31"/>
  <c r="EY36" i="31"/>
  <c r="EZ36" i="31"/>
  <c r="FA36" i="31"/>
  <c r="FB36" i="31"/>
  <c r="FC36" i="31"/>
  <c r="FD36" i="31"/>
  <c r="EW37" i="31"/>
  <c r="EX37" i="31"/>
  <c r="EY37" i="31"/>
  <c r="EZ37" i="31"/>
  <c r="FA37" i="31"/>
  <c r="FB37" i="31"/>
  <c r="FC37" i="31"/>
  <c r="FD37" i="31"/>
  <c r="EW38" i="31"/>
  <c r="EX38" i="31"/>
  <c r="EY38" i="31"/>
  <c r="EZ38" i="31"/>
  <c r="FA38" i="31"/>
  <c r="FB38" i="31"/>
  <c r="FC38" i="31"/>
  <c r="FD38" i="31"/>
  <c r="EW39" i="31"/>
  <c r="EX39" i="31"/>
  <c r="EY39" i="31"/>
  <c r="EZ39" i="31"/>
  <c r="FA39" i="31"/>
  <c r="FB39" i="31"/>
  <c r="FC39" i="31"/>
  <c r="FD39" i="31"/>
  <c r="EW40" i="31"/>
  <c r="EX40" i="31"/>
  <c r="EY40" i="31"/>
  <c r="EZ40" i="31"/>
  <c r="FA40" i="31"/>
  <c r="FB40" i="31"/>
  <c r="FC40" i="31"/>
  <c r="FD40" i="31"/>
  <c r="EW41" i="31"/>
  <c r="EX41" i="31"/>
  <c r="EY41" i="31"/>
  <c r="EZ41" i="31"/>
  <c r="FA41" i="31"/>
  <c r="FB41" i="31"/>
  <c r="FC41" i="31"/>
  <c r="FD41" i="31"/>
  <c r="EW42" i="31"/>
  <c r="EX42" i="31"/>
  <c r="EY42" i="31"/>
  <c r="EZ42" i="31"/>
  <c r="FA42" i="31"/>
  <c r="FB42" i="31"/>
  <c r="FC42" i="31"/>
  <c r="FD42" i="31"/>
  <c r="EW43" i="31"/>
  <c r="EX43" i="31"/>
  <c r="EY43" i="31"/>
  <c r="EZ43" i="31"/>
  <c r="FA43" i="31"/>
  <c r="FB43" i="31"/>
  <c r="FC43" i="31"/>
  <c r="FD43" i="31"/>
  <c r="EW44" i="31"/>
  <c r="EX44" i="31"/>
  <c r="EY44" i="31"/>
  <c r="EZ44" i="31"/>
  <c r="FA44" i="31"/>
  <c r="FB44" i="31"/>
  <c r="FC44" i="31"/>
  <c r="FD44" i="31"/>
  <c r="EW45" i="31"/>
  <c r="EX45" i="31"/>
  <c r="EY45" i="31"/>
  <c r="EZ45" i="31"/>
  <c r="FA45" i="31"/>
  <c r="FB45" i="31"/>
  <c r="FC45" i="31"/>
  <c r="FD45" i="31"/>
  <c r="EW46" i="31"/>
  <c r="EX46" i="31"/>
  <c r="EY46" i="31"/>
  <c r="EZ46" i="31"/>
  <c r="FA46" i="31"/>
  <c r="FB46" i="31"/>
  <c r="FC46" i="31"/>
  <c r="FD46" i="31"/>
  <c r="EW47" i="31"/>
  <c r="EX47" i="31"/>
  <c r="EY47" i="31"/>
  <c r="EZ47" i="31"/>
  <c r="FA47" i="31"/>
  <c r="FB47" i="31"/>
  <c r="FC47" i="31"/>
  <c r="FD47" i="31"/>
  <c r="EW48" i="31"/>
  <c r="EX48" i="31"/>
  <c r="EY48" i="31"/>
  <c r="EZ48" i="31"/>
  <c r="FA48" i="31"/>
  <c r="FB48" i="31"/>
  <c r="FC48" i="31"/>
  <c r="FD48" i="31"/>
  <c r="EW49" i="31"/>
  <c r="EX49" i="31"/>
  <c r="EY49" i="31"/>
  <c r="EZ49" i="31"/>
  <c r="FA49" i="31"/>
  <c r="FB49" i="31"/>
  <c r="FC49" i="31"/>
  <c r="FD49" i="31"/>
  <c r="EW50" i="31"/>
  <c r="EX50" i="31"/>
  <c r="EY50" i="31"/>
  <c r="EZ50" i="31"/>
  <c r="FA50" i="31"/>
  <c r="FB50" i="31"/>
  <c r="FC50" i="31"/>
  <c r="FD50" i="31"/>
  <c r="EW51" i="31"/>
  <c r="EX51" i="31"/>
  <c r="EY51" i="31"/>
  <c r="EZ51" i="31"/>
  <c r="FA51" i="31"/>
  <c r="FB51" i="31"/>
  <c r="FC51" i="31"/>
  <c r="FD51" i="31"/>
  <c r="EW52" i="31"/>
  <c r="EX52" i="31"/>
  <c r="EY52" i="31"/>
  <c r="EZ52" i="31"/>
  <c r="FA52" i="31"/>
  <c r="FB52" i="31"/>
  <c r="FC52" i="31"/>
  <c r="FD52" i="31"/>
  <c r="EW53" i="31"/>
  <c r="EX53" i="31"/>
  <c r="EY53" i="31"/>
  <c r="EZ53" i="31"/>
  <c r="FA53" i="31"/>
  <c r="FB53" i="31"/>
  <c r="FC53" i="31"/>
  <c r="FD53" i="31"/>
  <c r="EW54" i="31"/>
  <c r="EX54" i="31"/>
  <c r="EY54" i="31"/>
  <c r="EZ54" i="31"/>
  <c r="FA54" i="31"/>
  <c r="FB54" i="31"/>
  <c r="FC54" i="31"/>
  <c r="FD54" i="31"/>
  <c r="EW55" i="31"/>
  <c r="EX55" i="31"/>
  <c r="EY55" i="31"/>
  <c r="EZ55" i="31"/>
  <c r="FA55" i="31"/>
  <c r="FB55" i="31"/>
  <c r="FC55" i="31"/>
  <c r="FD55" i="31"/>
  <c r="EW56" i="31"/>
  <c r="EX56" i="31"/>
  <c r="EY56" i="31"/>
  <c r="EZ56" i="31"/>
  <c r="FA56" i="31"/>
  <c r="FB56" i="31"/>
  <c r="FC56" i="31"/>
  <c r="FD56" i="31"/>
  <c r="EW57" i="31"/>
  <c r="EX57" i="31"/>
  <c r="EY57" i="31"/>
  <c r="EZ57" i="31"/>
  <c r="FA57" i="31"/>
  <c r="FB57" i="31"/>
  <c r="FC57" i="31"/>
  <c r="FD57" i="31"/>
  <c r="EW58" i="31"/>
  <c r="EX58" i="31"/>
  <c r="EY58" i="31"/>
  <c r="EZ58" i="31"/>
  <c r="FA58" i="31"/>
  <c r="FB58" i="31"/>
  <c r="FC58" i="31"/>
  <c r="FD58" i="31"/>
  <c r="EW59" i="31"/>
  <c r="EX59" i="31"/>
  <c r="EY59" i="31"/>
  <c r="EZ59" i="31"/>
  <c r="FA59" i="31"/>
  <c r="FB59" i="31"/>
  <c r="FC59" i="31"/>
  <c r="FD59" i="31"/>
  <c r="EW60" i="31"/>
  <c r="EX60" i="31"/>
  <c r="EY60" i="31"/>
  <c r="EZ60" i="31"/>
  <c r="FA60" i="31"/>
  <c r="FB60" i="31"/>
  <c r="FC60" i="31"/>
  <c r="FD60" i="31"/>
  <c r="EW61" i="31"/>
  <c r="EX61" i="31"/>
  <c r="EY61" i="31"/>
  <c r="EZ61" i="31"/>
  <c r="FA61" i="31"/>
  <c r="FB61" i="31"/>
  <c r="FC61" i="31"/>
  <c r="FD61" i="31"/>
  <c r="EW62" i="31"/>
  <c r="EX62" i="31"/>
  <c r="EY62" i="31"/>
  <c r="EZ62" i="31"/>
  <c r="FA62" i="31"/>
  <c r="FB62" i="31"/>
  <c r="FC62" i="31"/>
  <c r="FD62" i="31"/>
  <c r="EW63" i="31"/>
  <c r="EX63" i="31"/>
  <c r="EY63" i="31"/>
  <c r="EZ63" i="31"/>
  <c r="FA63" i="31"/>
  <c r="FB63" i="31"/>
  <c r="FC63" i="31"/>
  <c r="FD63" i="31"/>
  <c r="EW64" i="31"/>
  <c r="EX64" i="31"/>
  <c r="EY64" i="31"/>
  <c r="EZ64" i="31"/>
  <c r="FA64" i="31"/>
  <c r="FB64" i="31"/>
  <c r="FC64" i="31"/>
  <c r="FD64" i="31"/>
  <c r="EW65" i="31"/>
  <c r="EX65" i="31"/>
  <c r="EY65" i="31"/>
  <c r="EZ65" i="31"/>
  <c r="FA65" i="31"/>
  <c r="FB65" i="31"/>
  <c r="FC65" i="31"/>
  <c r="FD65" i="31"/>
  <c r="EW66" i="31"/>
  <c r="EX66" i="31"/>
  <c r="EY66" i="31"/>
  <c r="EZ66" i="31"/>
  <c r="FA66" i="31"/>
  <c r="FB66" i="31"/>
  <c r="FC66" i="31"/>
  <c r="FD66" i="31"/>
  <c r="EW67" i="31"/>
  <c r="EX67" i="31"/>
  <c r="EY67" i="31"/>
  <c r="EZ67" i="31"/>
  <c r="FA67" i="31"/>
  <c r="FB67" i="31"/>
  <c r="FC67" i="31"/>
  <c r="FD67" i="31"/>
  <c r="EW68" i="31"/>
  <c r="EX68" i="31"/>
  <c r="EY68" i="31"/>
  <c r="EZ68" i="31"/>
  <c r="FA68" i="31"/>
  <c r="FB68" i="31"/>
  <c r="FC68" i="31"/>
  <c r="FD68" i="31"/>
  <c r="EW69" i="31"/>
  <c r="EX69" i="31"/>
  <c r="EY69" i="31"/>
  <c r="EZ69" i="31"/>
  <c r="FA69" i="31"/>
  <c r="FB69" i="31"/>
  <c r="FC69" i="31"/>
  <c r="FD69" i="31"/>
  <c r="EW70" i="31"/>
  <c r="EX70" i="31"/>
  <c r="EY70" i="31"/>
  <c r="EZ70" i="31"/>
  <c r="FA70" i="31"/>
  <c r="FB70" i="31"/>
  <c r="FC70" i="31"/>
  <c r="FD70" i="31"/>
  <c r="EW71" i="31"/>
  <c r="EX71" i="31"/>
  <c r="EY71" i="31"/>
  <c r="EZ71" i="31"/>
  <c r="FA71" i="31"/>
  <c r="FB71" i="31"/>
  <c r="FC71" i="31"/>
  <c r="FD71" i="31"/>
  <c r="EW72" i="31"/>
  <c r="EX72" i="31"/>
  <c r="EY72" i="31"/>
  <c r="EZ72" i="31"/>
  <c r="FA72" i="31"/>
  <c r="FB72" i="31"/>
  <c r="FC72" i="31"/>
  <c r="FD72" i="31"/>
  <c r="EW73" i="31"/>
  <c r="EX73" i="31"/>
  <c r="EY73" i="31"/>
  <c r="EZ73" i="31"/>
  <c r="FA73" i="31"/>
  <c r="FB73" i="31"/>
  <c r="FC73" i="31"/>
  <c r="FD73" i="31"/>
  <c r="EW74" i="31"/>
  <c r="EX74" i="31"/>
  <c r="EY74" i="31"/>
  <c r="EZ74" i="31"/>
  <c r="FA74" i="31"/>
  <c r="FB74" i="31"/>
  <c r="FC74" i="31"/>
  <c r="FD74" i="31"/>
  <c r="EW75" i="31"/>
  <c r="EX75" i="31"/>
  <c r="EY75" i="31"/>
  <c r="EZ75" i="31"/>
  <c r="FA75" i="31"/>
  <c r="FB75" i="31"/>
  <c r="FC75" i="31"/>
  <c r="FD75" i="31"/>
  <c r="EW76" i="31"/>
  <c r="EX76" i="31"/>
  <c r="EY76" i="31"/>
  <c r="EZ76" i="31"/>
  <c r="FA76" i="31"/>
  <c r="FB76" i="31"/>
  <c r="FC76" i="31"/>
  <c r="FD76" i="31"/>
  <c r="EW77" i="31"/>
  <c r="EX77" i="31"/>
  <c r="EY77" i="31"/>
  <c r="EZ77" i="31"/>
  <c r="FA77" i="31"/>
  <c r="FB77" i="31"/>
  <c r="FC77" i="31"/>
  <c r="FD77" i="31"/>
  <c r="EW78" i="31"/>
  <c r="EX78" i="31"/>
  <c r="EY78" i="31"/>
  <c r="EZ78" i="31"/>
  <c r="FA78" i="31"/>
  <c r="FB78" i="31"/>
  <c r="FC78" i="31"/>
  <c r="FD78" i="31"/>
  <c r="EW79" i="31"/>
  <c r="EX79" i="31"/>
  <c r="EY79" i="31"/>
  <c r="EZ79" i="31"/>
  <c r="FA79" i="31"/>
  <c r="FB79" i="31"/>
  <c r="FC79" i="31"/>
  <c r="FD79" i="31"/>
  <c r="EW80" i="31"/>
  <c r="EX80" i="31"/>
  <c r="EY80" i="31"/>
  <c r="EZ80" i="31"/>
  <c r="FA80" i="31"/>
  <c r="FB80" i="31"/>
  <c r="FC80" i="31"/>
  <c r="FD80" i="31"/>
  <c r="EW81" i="31"/>
  <c r="EX81" i="31"/>
  <c r="EY81" i="31"/>
  <c r="EZ81" i="31"/>
  <c r="FA81" i="31"/>
  <c r="FB81" i="31"/>
  <c r="FC81" i="31"/>
  <c r="FD81" i="31"/>
  <c r="EW82" i="31"/>
  <c r="EX82" i="31"/>
  <c r="EY82" i="31"/>
  <c r="EZ82" i="31"/>
  <c r="FA82" i="31"/>
  <c r="FB82" i="31"/>
  <c r="FC82" i="31"/>
  <c r="FD82" i="31"/>
  <c r="EW83" i="31"/>
  <c r="EX83" i="31"/>
  <c r="EY83" i="31"/>
  <c r="EZ83" i="31"/>
  <c r="FA83" i="31"/>
  <c r="FB83" i="31"/>
  <c r="FC83" i="31"/>
  <c r="FD83" i="31"/>
  <c r="EW84" i="31"/>
  <c r="EX84" i="31"/>
  <c r="EY84" i="31"/>
  <c r="EZ84" i="31"/>
  <c r="FA84" i="31"/>
  <c r="FB84" i="31"/>
  <c r="FC84" i="31"/>
  <c r="FD84" i="31"/>
  <c r="EW85" i="31"/>
  <c r="EX85" i="31"/>
  <c r="EY85" i="31"/>
  <c r="EZ85" i="31"/>
  <c r="FA85" i="31"/>
  <c r="FB85" i="31"/>
  <c r="FC85" i="31"/>
  <c r="FD85" i="31"/>
  <c r="EW86" i="31"/>
  <c r="EX86" i="31"/>
  <c r="EY86" i="31"/>
  <c r="EZ86" i="31"/>
  <c r="FA86" i="31"/>
  <c r="FB86" i="31"/>
  <c r="FC86" i="31"/>
  <c r="FD86" i="31"/>
  <c r="EW87" i="31"/>
  <c r="EX87" i="31"/>
  <c r="EY87" i="31"/>
  <c r="EZ87" i="31"/>
  <c r="FA87" i="31"/>
  <c r="FB87" i="31"/>
  <c r="FC87" i="31"/>
  <c r="FD87" i="31"/>
  <c r="EW88" i="31"/>
  <c r="EX88" i="31"/>
  <c r="EY88" i="31"/>
  <c r="EZ88" i="31"/>
  <c r="FA88" i="31"/>
  <c r="FB88" i="31"/>
  <c r="FC88" i="31"/>
  <c r="FD88" i="31"/>
  <c r="EW89" i="31"/>
  <c r="EX89" i="31"/>
  <c r="EY89" i="31"/>
  <c r="EZ89" i="31"/>
  <c r="FA89" i="31"/>
  <c r="FB89" i="31"/>
  <c r="FC89" i="31"/>
  <c r="FD89" i="31"/>
  <c r="EW90" i="31"/>
  <c r="EX90" i="31"/>
  <c r="EY90" i="31"/>
  <c r="EZ90" i="31"/>
  <c r="FA90" i="31"/>
  <c r="FB90" i="31"/>
  <c r="FC90" i="31"/>
  <c r="FD90" i="31"/>
  <c r="EW91" i="31"/>
  <c r="EX91" i="31"/>
  <c r="EY91" i="31"/>
  <c r="EZ91" i="31"/>
  <c r="FA91" i="31"/>
  <c r="FB91" i="31"/>
  <c r="FC91" i="31"/>
  <c r="FD91" i="31"/>
  <c r="EW92" i="31"/>
  <c r="EX92" i="31"/>
  <c r="EY92" i="31"/>
  <c r="EZ92" i="31"/>
  <c r="FA92" i="31"/>
  <c r="FB92" i="31"/>
  <c r="FC92" i="31"/>
  <c r="FD92" i="31"/>
  <c r="EW93" i="31"/>
  <c r="EX93" i="31"/>
  <c r="EY93" i="31"/>
  <c r="EZ93" i="31"/>
  <c r="FA93" i="31"/>
  <c r="FB93" i="31"/>
  <c r="FC93" i="31"/>
  <c r="FD93" i="31"/>
  <c r="EW94" i="31"/>
  <c r="EX94" i="31"/>
  <c r="EY94" i="31"/>
  <c r="EZ94" i="31"/>
  <c r="FA94" i="31"/>
  <c r="FB94" i="31"/>
  <c r="FC94" i="31"/>
  <c r="FD94" i="31"/>
  <c r="EW95" i="31"/>
  <c r="EX95" i="31"/>
  <c r="EY95" i="31"/>
  <c r="EZ95" i="31"/>
  <c r="FA95" i="31"/>
  <c r="FB95" i="31"/>
  <c r="FC95" i="31"/>
  <c r="FD95" i="31"/>
  <c r="EW96" i="31"/>
  <c r="EX96" i="31"/>
  <c r="EY96" i="31"/>
  <c r="EZ96" i="31"/>
  <c r="FA96" i="31"/>
  <c r="FB96" i="31"/>
  <c r="FC96" i="31"/>
  <c r="FD96" i="31"/>
  <c r="EW97" i="31"/>
  <c r="EX97" i="31"/>
  <c r="EY97" i="31"/>
  <c r="EZ97" i="31"/>
  <c r="FA97" i="31"/>
  <c r="FB97" i="31"/>
  <c r="FC97" i="31"/>
  <c r="FD97" i="31"/>
  <c r="EW98" i="31"/>
  <c r="EX98" i="31"/>
  <c r="EY98" i="31"/>
  <c r="EZ98" i="31"/>
  <c r="FA98" i="31"/>
  <c r="FB98" i="31"/>
  <c r="FC98" i="31"/>
  <c r="FD98" i="31"/>
  <c r="EW99" i="31"/>
  <c r="EX99" i="31"/>
  <c r="EY99" i="31"/>
  <c r="EZ99" i="31"/>
  <c r="FA99" i="31"/>
  <c r="FB99" i="31"/>
  <c r="FC99" i="31"/>
  <c r="FD99" i="31"/>
  <c r="EW100" i="31"/>
  <c r="EX100" i="31"/>
  <c r="EY100" i="31"/>
  <c r="EZ100" i="31"/>
  <c r="FA100" i="31"/>
  <c r="FB100" i="31"/>
  <c r="FC100" i="31"/>
  <c r="FD100" i="31"/>
  <c r="EW101" i="31"/>
  <c r="EX101" i="31"/>
  <c r="EY101" i="31"/>
  <c r="EZ101" i="31"/>
  <c r="FA101" i="31"/>
  <c r="FB101" i="31"/>
  <c r="FC101" i="31"/>
  <c r="FD101" i="31"/>
  <c r="EW102" i="31"/>
  <c r="EX102" i="31"/>
  <c r="EY102" i="31"/>
  <c r="EZ102" i="31"/>
  <c r="FA102" i="31"/>
  <c r="FB102" i="31"/>
  <c r="FC102" i="31"/>
  <c r="FD102" i="31"/>
  <c r="EW103" i="31"/>
  <c r="EX103" i="31"/>
  <c r="EY103" i="31"/>
  <c r="EZ103" i="31"/>
  <c r="FA103" i="31"/>
  <c r="FB103" i="31"/>
  <c r="FC103" i="31"/>
  <c r="FD103" i="31"/>
  <c r="EW104" i="31"/>
  <c r="EX104" i="31"/>
  <c r="EY104" i="31"/>
  <c r="EZ104" i="31"/>
  <c r="FA104" i="31"/>
  <c r="FB104" i="31"/>
  <c r="FC104" i="31"/>
  <c r="FD104" i="31"/>
  <c r="EW105" i="31"/>
  <c r="EX105" i="31"/>
  <c r="EY105" i="31"/>
  <c r="EZ105" i="31"/>
  <c r="FA105" i="31"/>
  <c r="FB105" i="31"/>
  <c r="FC105" i="31"/>
  <c r="FD105" i="31"/>
  <c r="EW106" i="31"/>
  <c r="EX106" i="31"/>
  <c r="EY106" i="31"/>
  <c r="EZ106" i="31"/>
  <c r="FA106" i="31"/>
  <c r="FB106" i="31"/>
  <c r="FC106" i="31"/>
  <c r="FD106" i="31"/>
  <c r="EW107" i="31"/>
  <c r="EX107" i="31"/>
  <c r="EY107" i="31"/>
  <c r="EZ107" i="31"/>
  <c r="FA107" i="31"/>
  <c r="FB107" i="31"/>
  <c r="FC107" i="31"/>
  <c r="FD107" i="31"/>
  <c r="EW108" i="31"/>
  <c r="EX108" i="31"/>
  <c r="EY108" i="31"/>
  <c r="EZ108" i="31"/>
  <c r="FA108" i="31"/>
  <c r="FB108" i="31"/>
  <c r="FC108" i="31"/>
  <c r="FD108" i="31"/>
  <c r="EW109" i="31"/>
  <c r="EX109" i="31"/>
  <c r="EY109" i="31"/>
  <c r="EZ109" i="31"/>
  <c r="FA109" i="31"/>
  <c r="FB109" i="31"/>
  <c r="FC109" i="31"/>
  <c r="FD109" i="31"/>
  <c r="EW110" i="31"/>
  <c r="EX110" i="31"/>
  <c r="EY110" i="31"/>
  <c r="EZ110" i="31"/>
  <c r="FA110" i="31"/>
  <c r="FB110" i="31"/>
  <c r="FC110" i="31"/>
  <c r="FD110" i="31"/>
  <c r="EW111" i="31"/>
  <c r="EX111" i="31"/>
  <c r="EY111" i="31"/>
  <c r="EZ111" i="31"/>
  <c r="FA111" i="31"/>
  <c r="FB111" i="31"/>
  <c r="FC111" i="31"/>
  <c r="FD111" i="31"/>
  <c r="EW112" i="31"/>
  <c r="EX112" i="31"/>
  <c r="EY112" i="31"/>
  <c r="EZ112" i="31"/>
  <c r="FA112" i="31"/>
  <c r="FB112" i="31"/>
  <c r="FC112" i="31"/>
  <c r="FD112" i="31"/>
  <c r="EW113" i="31"/>
  <c r="EX113" i="31"/>
  <c r="EY113" i="31"/>
  <c r="EZ113" i="31"/>
  <c r="FA113" i="31"/>
  <c r="FB113" i="31"/>
  <c r="FC113" i="31"/>
  <c r="FD113" i="31"/>
  <c r="EW114" i="31"/>
  <c r="EX114" i="31"/>
  <c r="EY114" i="31"/>
  <c r="EZ114" i="31"/>
  <c r="FA114" i="31"/>
  <c r="FB114" i="31"/>
  <c r="FC114" i="31"/>
  <c r="FD114" i="31"/>
  <c r="EW115" i="31"/>
  <c r="EX115" i="31"/>
  <c r="EY115" i="31"/>
  <c r="EZ115" i="31"/>
  <c r="FA115" i="31"/>
  <c r="FB115" i="31"/>
  <c r="FC115" i="31"/>
  <c r="FD115" i="31"/>
  <c r="EW116" i="31"/>
  <c r="EX116" i="31"/>
  <c r="EY116" i="31"/>
  <c r="EZ116" i="31"/>
  <c r="FA116" i="31"/>
  <c r="FB116" i="31"/>
  <c r="FC116" i="31"/>
  <c r="FD116" i="31"/>
  <c r="EW117" i="31"/>
  <c r="EX117" i="31"/>
  <c r="EY117" i="31"/>
  <c r="EZ117" i="31"/>
  <c r="FA117" i="31"/>
  <c r="FB117" i="31"/>
  <c r="FC117" i="31"/>
  <c r="FD117" i="31"/>
  <c r="EW118" i="31"/>
  <c r="EX118" i="31"/>
  <c r="EY118" i="31"/>
  <c r="EZ118" i="31"/>
  <c r="FA118" i="31"/>
  <c r="FB118" i="31"/>
  <c r="FC118" i="31"/>
  <c r="FD118" i="31"/>
  <c r="EW119" i="31"/>
  <c r="EX119" i="31"/>
  <c r="EY119" i="31"/>
  <c r="EZ119" i="31"/>
  <c r="FA119" i="31"/>
  <c r="FB119" i="31"/>
  <c r="FC119" i="31"/>
  <c r="FD119" i="31"/>
  <c r="EW120" i="31"/>
  <c r="EX120" i="31"/>
  <c r="EY120" i="31"/>
  <c r="EZ120" i="31"/>
  <c r="FA120" i="31"/>
  <c r="FB120" i="31"/>
  <c r="FC120" i="31"/>
  <c r="FD120" i="31"/>
  <c r="EW121" i="31"/>
  <c r="EX121" i="31"/>
  <c r="EY121" i="31"/>
  <c r="EZ121" i="31"/>
  <c r="FA121" i="31"/>
  <c r="FB121" i="31"/>
  <c r="FC121" i="31"/>
  <c r="FD121" i="31"/>
  <c r="EW122" i="31"/>
  <c r="EX122" i="31"/>
  <c r="EY122" i="31"/>
  <c r="EZ122" i="31"/>
  <c r="FA122" i="31"/>
  <c r="FB122" i="31"/>
  <c r="FC122" i="31"/>
  <c r="FD122" i="31"/>
  <c r="EW123" i="31"/>
  <c r="EX123" i="31"/>
  <c r="EY123" i="31"/>
  <c r="EZ123" i="31"/>
  <c r="FA123" i="31"/>
  <c r="FB123" i="31"/>
  <c r="FC123" i="31"/>
  <c r="FD123" i="31"/>
  <c r="EW124" i="31"/>
  <c r="EX124" i="31"/>
  <c r="EY124" i="31"/>
  <c r="EZ124" i="31"/>
  <c r="FA124" i="31"/>
  <c r="FB124" i="31"/>
  <c r="FC124" i="31"/>
  <c r="FD124" i="31"/>
  <c r="EW125" i="31"/>
  <c r="EX125" i="31"/>
  <c r="EY125" i="31"/>
  <c r="EZ125" i="31"/>
  <c r="FA125" i="31"/>
  <c r="FB125" i="31"/>
  <c r="FC125" i="31"/>
  <c r="FD125" i="31"/>
  <c r="EW126" i="31"/>
  <c r="EX126" i="31"/>
  <c r="EY126" i="31"/>
  <c r="EZ126" i="31"/>
  <c r="FA126" i="31"/>
  <c r="FB126" i="31"/>
  <c r="FC126" i="31"/>
  <c r="FD126" i="31"/>
  <c r="EW127" i="31"/>
  <c r="EX127" i="31"/>
  <c r="EY127" i="31"/>
  <c r="EZ127" i="31"/>
  <c r="FA127" i="31"/>
  <c r="FB127" i="31"/>
  <c r="FC127" i="31"/>
  <c r="FD127" i="31"/>
  <c r="EW128" i="31"/>
  <c r="EX128" i="31"/>
  <c r="EY128" i="31"/>
  <c r="EZ128" i="31"/>
  <c r="FA128" i="31"/>
  <c r="FB128" i="31"/>
  <c r="FC128" i="31"/>
  <c r="FD128" i="31"/>
  <c r="EW129" i="31"/>
  <c r="EX129" i="31"/>
  <c r="EY129" i="31"/>
  <c r="EZ129" i="31"/>
  <c r="FA129" i="31"/>
  <c r="FB129" i="31"/>
  <c r="FC129" i="31"/>
  <c r="FD129" i="31"/>
  <c r="EW130" i="31"/>
  <c r="EX130" i="31"/>
  <c r="EY130" i="31"/>
  <c r="EZ130" i="31"/>
  <c r="FA130" i="31"/>
  <c r="FB130" i="31"/>
  <c r="FC130" i="31"/>
  <c r="FD130" i="31"/>
  <c r="EW131" i="31"/>
  <c r="EX131" i="31"/>
  <c r="EY131" i="31"/>
  <c r="EZ131" i="31"/>
  <c r="FA131" i="31"/>
  <c r="FB131" i="31"/>
  <c r="FC131" i="31"/>
  <c r="FD131" i="31"/>
  <c r="EW132" i="31"/>
  <c r="EX132" i="31"/>
  <c r="EY132" i="31"/>
  <c r="EZ132" i="31"/>
  <c r="FA132" i="31"/>
  <c r="FB132" i="31"/>
  <c r="FC132" i="31"/>
  <c r="FD132" i="31"/>
  <c r="EW133" i="31"/>
  <c r="EX133" i="31"/>
  <c r="EY133" i="31"/>
  <c r="EZ133" i="31"/>
  <c r="FA133" i="31"/>
  <c r="FB133" i="31"/>
  <c r="FC133" i="31"/>
  <c r="FD133" i="31"/>
  <c r="EW134" i="31"/>
  <c r="EX134" i="31"/>
  <c r="EY134" i="31"/>
  <c r="EZ134" i="31"/>
  <c r="FA134" i="31"/>
  <c r="FB134" i="31"/>
  <c r="FC134" i="31"/>
  <c r="FD134" i="31"/>
  <c r="EW135" i="31"/>
  <c r="EX135" i="31"/>
  <c r="EY135" i="31"/>
  <c r="EZ135" i="31"/>
  <c r="FA135" i="31"/>
  <c r="FB135" i="31"/>
  <c r="FC135" i="31"/>
  <c r="FD135" i="31"/>
  <c r="EW136" i="31"/>
  <c r="EX136" i="31"/>
  <c r="EY136" i="31"/>
  <c r="EZ136" i="31"/>
  <c r="FA136" i="31"/>
  <c r="FB136" i="31"/>
  <c r="FC136" i="31"/>
  <c r="FD136" i="31"/>
  <c r="EW137" i="31"/>
  <c r="EX137" i="31"/>
  <c r="EY137" i="31"/>
  <c r="EZ137" i="31"/>
  <c r="FA137" i="31"/>
  <c r="FB137" i="31"/>
  <c r="FC137" i="31"/>
  <c r="FD137" i="31"/>
  <c r="EW138" i="31"/>
  <c r="EX138" i="31"/>
  <c r="EY138" i="31"/>
  <c r="EZ138" i="31"/>
  <c r="FA138" i="31"/>
  <c r="FB138" i="31"/>
  <c r="FC138" i="31"/>
  <c r="FD138" i="31"/>
  <c r="EW139" i="31"/>
  <c r="EX139" i="31"/>
  <c r="EY139" i="31"/>
  <c r="EZ139" i="31"/>
  <c r="FA139" i="31"/>
  <c r="FB139" i="31"/>
  <c r="FC139" i="31"/>
  <c r="FD139" i="31"/>
  <c r="EW140" i="31"/>
  <c r="EX140" i="31"/>
  <c r="EY140" i="31"/>
  <c r="EZ140" i="31"/>
  <c r="FA140" i="31"/>
  <c r="FB140" i="31"/>
  <c r="FC140" i="31"/>
  <c r="FD140" i="31"/>
  <c r="EW141" i="31"/>
  <c r="EX141" i="31"/>
  <c r="EY141" i="31"/>
  <c r="EZ141" i="31"/>
  <c r="FA141" i="31"/>
  <c r="FB141" i="31"/>
  <c r="FC141" i="31"/>
  <c r="FD141" i="31"/>
  <c r="EW142" i="31"/>
  <c r="EX142" i="31"/>
  <c r="EY142" i="31"/>
  <c r="EZ142" i="31"/>
  <c r="FA142" i="31"/>
  <c r="FB142" i="31"/>
  <c r="FC142" i="31"/>
  <c r="FD142" i="31"/>
  <c r="EW143" i="31"/>
  <c r="EX143" i="31"/>
  <c r="EY143" i="31"/>
  <c r="EZ143" i="31"/>
  <c r="FA143" i="31"/>
  <c r="FB143" i="31"/>
  <c r="FC143" i="31"/>
  <c r="FD143" i="31"/>
  <c r="EW144" i="31"/>
  <c r="EX144" i="31"/>
  <c r="EY144" i="31"/>
  <c r="EZ144" i="31"/>
  <c r="FA144" i="31"/>
  <c r="FB144" i="31"/>
  <c r="FC144" i="31"/>
  <c r="FD144" i="31"/>
  <c r="EW145" i="31"/>
  <c r="EX145" i="31"/>
  <c r="EY145" i="31"/>
  <c r="EZ145" i="31"/>
  <c r="FA145" i="31"/>
  <c r="FB145" i="31"/>
  <c r="FC145" i="31"/>
  <c r="FD145" i="31"/>
  <c r="EW146" i="31"/>
  <c r="EX146" i="31"/>
  <c r="EY146" i="31"/>
  <c r="EZ146" i="31"/>
  <c r="FA146" i="31"/>
  <c r="FB146" i="31"/>
  <c r="FC146" i="31"/>
  <c r="FD146" i="31"/>
  <c r="EW147" i="31"/>
  <c r="EX147" i="31"/>
  <c r="EY147" i="31"/>
  <c r="EZ147" i="31"/>
  <c r="FA147" i="31"/>
  <c r="FB147" i="31"/>
  <c r="FC147" i="31"/>
  <c r="FD147" i="31"/>
  <c r="EW148" i="31"/>
  <c r="EX148" i="31"/>
  <c r="EY148" i="31"/>
  <c r="EZ148" i="31"/>
  <c r="FA148" i="31"/>
  <c r="FB148" i="31"/>
  <c r="FC148" i="31"/>
  <c r="FD148" i="31"/>
  <c r="EW149" i="31"/>
  <c r="EX149" i="31"/>
  <c r="EY149" i="31"/>
  <c r="EZ149" i="31"/>
  <c r="FA149" i="31"/>
  <c r="FB149" i="31"/>
  <c r="FC149" i="31"/>
  <c r="FD149" i="31"/>
  <c r="EW150" i="31"/>
  <c r="EX150" i="31"/>
  <c r="EY150" i="31"/>
  <c r="EZ150" i="31"/>
  <c r="FA150" i="31"/>
  <c r="FB150" i="31"/>
  <c r="FC150" i="31"/>
  <c r="FD150" i="31"/>
  <c r="EW151" i="31"/>
  <c r="EX151" i="31"/>
  <c r="EY151" i="31"/>
  <c r="EZ151" i="31"/>
  <c r="FA151" i="31"/>
  <c r="FB151" i="31"/>
  <c r="FC151" i="31"/>
  <c r="FD151" i="31"/>
  <c r="EW152" i="31"/>
  <c r="EX152" i="31"/>
  <c r="EY152" i="31"/>
  <c r="EZ152" i="31"/>
  <c r="FA152" i="31"/>
  <c r="FB152" i="31"/>
  <c r="FC152" i="31"/>
  <c r="FD152" i="31"/>
  <c r="EW153" i="31"/>
  <c r="EX153" i="31"/>
  <c r="EY153" i="31"/>
  <c r="EZ153" i="31"/>
  <c r="FA153" i="31"/>
  <c r="FB153" i="31"/>
  <c r="FC153" i="31"/>
  <c r="FD153" i="31"/>
  <c r="EW154" i="31"/>
  <c r="EX154" i="31"/>
  <c r="EY154" i="31"/>
  <c r="EZ154" i="31"/>
  <c r="FA154" i="31"/>
  <c r="FB154" i="31"/>
  <c r="FC154" i="31"/>
  <c r="FD154" i="31"/>
  <c r="EW155" i="31"/>
  <c r="EX155" i="31"/>
  <c r="EY155" i="31"/>
  <c r="EZ155" i="31"/>
  <c r="FA155" i="31"/>
  <c r="FB155" i="31"/>
  <c r="FC155" i="31"/>
  <c r="FD155" i="31"/>
  <c r="EW156" i="31"/>
  <c r="EX156" i="31"/>
  <c r="EY156" i="31"/>
  <c r="EZ156" i="31"/>
  <c r="FA156" i="31"/>
  <c r="FB156" i="31"/>
  <c r="FC156" i="31"/>
  <c r="FD156" i="31"/>
  <c r="EW157" i="31"/>
  <c r="EX157" i="31"/>
  <c r="EY157" i="31"/>
  <c r="EZ157" i="31"/>
  <c r="FA157" i="31"/>
  <c r="FB157" i="31"/>
  <c r="FC157" i="31"/>
  <c r="FD157" i="31"/>
  <c r="EW158" i="31"/>
  <c r="EX158" i="31"/>
  <c r="EY158" i="31"/>
  <c r="EZ158" i="31"/>
  <c r="FA158" i="31"/>
  <c r="FB158" i="31"/>
  <c r="FC158" i="31"/>
  <c r="FD158" i="31"/>
  <c r="EW159" i="31"/>
  <c r="EX159" i="31"/>
  <c r="EY159" i="31"/>
  <c r="EZ159" i="31"/>
  <c r="FA159" i="31"/>
  <c r="FB159" i="31"/>
  <c r="FC159" i="31"/>
  <c r="FD159" i="31"/>
  <c r="EW160" i="31"/>
  <c r="EX160" i="31"/>
  <c r="EY160" i="31"/>
  <c r="EZ160" i="31"/>
  <c r="FA160" i="31"/>
  <c r="FB160" i="31"/>
  <c r="FC160" i="31"/>
  <c r="FD160" i="31"/>
  <c r="EW161" i="31"/>
  <c r="EX161" i="31"/>
  <c r="EY161" i="31"/>
  <c r="EZ161" i="31"/>
  <c r="FA161" i="31"/>
  <c r="FB161" i="31"/>
  <c r="FC161" i="31"/>
  <c r="FD161" i="31"/>
  <c r="EW162" i="31"/>
  <c r="EX162" i="31"/>
  <c r="EY162" i="31"/>
  <c r="EZ162" i="31"/>
  <c r="FA162" i="31"/>
  <c r="FB162" i="31"/>
  <c r="FC162" i="31"/>
  <c r="FD162" i="31"/>
  <c r="EW163" i="31"/>
  <c r="EX163" i="31"/>
  <c r="EY163" i="31"/>
  <c r="EZ163" i="31"/>
  <c r="FA163" i="31"/>
  <c r="FB163" i="31"/>
  <c r="FC163" i="31"/>
  <c r="FD163" i="31"/>
  <c r="EW164" i="31"/>
  <c r="EX164" i="31"/>
  <c r="EY164" i="31"/>
  <c r="EZ164" i="31"/>
  <c r="FA164" i="31"/>
  <c r="FB164" i="31"/>
  <c r="FC164" i="31"/>
  <c r="FD164" i="31"/>
  <c r="EW165" i="31"/>
  <c r="EX165" i="31"/>
  <c r="EY165" i="31"/>
  <c r="EZ165" i="31"/>
  <c r="FA165" i="31"/>
  <c r="FB165" i="31"/>
  <c r="FC165" i="31"/>
  <c r="FD165" i="31"/>
  <c r="EW166" i="31"/>
  <c r="EX166" i="31"/>
  <c r="EY166" i="31"/>
  <c r="EZ166" i="31"/>
  <c r="FA166" i="31"/>
  <c r="FB166" i="31"/>
  <c r="FC166" i="31"/>
  <c r="FD166" i="31"/>
  <c r="EW167" i="31"/>
  <c r="EX167" i="31"/>
  <c r="EY167" i="31"/>
  <c r="EZ167" i="31"/>
  <c r="FA167" i="31"/>
  <c r="FB167" i="31"/>
  <c r="FC167" i="31"/>
  <c r="FD167" i="31"/>
  <c r="EW168" i="31"/>
  <c r="EX168" i="31"/>
  <c r="EY168" i="31"/>
  <c r="EZ168" i="31"/>
  <c r="FA168" i="31"/>
  <c r="FB168" i="31"/>
  <c r="FC168" i="31"/>
  <c r="FD168" i="31"/>
  <c r="EW169" i="31"/>
  <c r="EX169" i="31"/>
  <c r="EY169" i="31"/>
  <c r="EZ169" i="31"/>
  <c r="FA169" i="31"/>
  <c r="FB169" i="31"/>
  <c r="FC169" i="31"/>
  <c r="FD169" i="31"/>
  <c r="EW170" i="31"/>
  <c r="EX170" i="31"/>
  <c r="EY170" i="31"/>
  <c r="EZ170" i="31"/>
  <c r="FA170" i="31"/>
  <c r="FB170" i="31"/>
  <c r="FC170" i="31"/>
  <c r="FD170" i="31"/>
  <c r="EW171" i="31"/>
  <c r="EX171" i="31"/>
  <c r="EY171" i="31"/>
  <c r="EZ171" i="31"/>
  <c r="FA171" i="31"/>
  <c r="FB171" i="31"/>
  <c r="FC171" i="31"/>
  <c r="FD171" i="31"/>
  <c r="EW172" i="31"/>
  <c r="EX172" i="31"/>
  <c r="EY172" i="31"/>
  <c r="EZ172" i="31"/>
  <c r="FA172" i="31"/>
  <c r="FB172" i="31"/>
  <c r="FC172" i="31"/>
  <c r="FD172" i="31"/>
  <c r="EW173" i="31"/>
  <c r="EX173" i="31"/>
  <c r="EY173" i="31"/>
  <c r="EZ173" i="31"/>
  <c r="FA173" i="31"/>
  <c r="FB173" i="31"/>
  <c r="FC173" i="31"/>
  <c r="FD173" i="31"/>
  <c r="EW174" i="31"/>
  <c r="EX174" i="31"/>
  <c r="EY174" i="31"/>
  <c r="EZ174" i="31"/>
  <c r="FA174" i="31"/>
  <c r="FB174" i="31"/>
  <c r="FC174" i="31"/>
  <c r="FD174" i="31"/>
  <c r="EW175" i="31"/>
  <c r="EX175" i="31"/>
  <c r="EY175" i="31"/>
  <c r="EZ175" i="31"/>
  <c r="FA175" i="31"/>
  <c r="FB175" i="31"/>
  <c r="FC175" i="31"/>
  <c r="FD175" i="31"/>
  <c r="EW176" i="31"/>
  <c r="EX176" i="31"/>
  <c r="EY176" i="31"/>
  <c r="EZ176" i="31"/>
  <c r="FA176" i="31"/>
  <c r="FB176" i="31"/>
  <c r="FC176" i="31"/>
  <c r="FD176" i="31"/>
  <c r="EW177" i="31"/>
  <c r="EX177" i="31"/>
  <c r="EY177" i="31"/>
  <c r="EZ177" i="31"/>
  <c r="FA177" i="31"/>
  <c r="FB177" i="31"/>
  <c r="FC177" i="31"/>
  <c r="FD177" i="31"/>
  <c r="EW178" i="31"/>
  <c r="EX178" i="31"/>
  <c r="EY178" i="31"/>
  <c r="EZ178" i="31"/>
  <c r="FA178" i="31"/>
  <c r="FB178" i="31"/>
  <c r="FC178" i="31"/>
  <c r="FD178" i="31"/>
  <c r="EW179" i="31"/>
  <c r="EX179" i="31"/>
  <c r="EY179" i="31"/>
  <c r="EZ179" i="31"/>
  <c r="FA179" i="31"/>
  <c r="FB179" i="31"/>
  <c r="FC179" i="31"/>
  <c r="FD179" i="31"/>
  <c r="EW180" i="31"/>
  <c r="EX180" i="31"/>
  <c r="EY180" i="31"/>
  <c r="EZ180" i="31"/>
  <c r="FA180" i="31"/>
  <c r="FB180" i="31"/>
  <c r="FC180" i="31"/>
  <c r="FD180" i="31"/>
  <c r="EW181" i="31"/>
  <c r="EX181" i="31"/>
  <c r="EY181" i="31"/>
  <c r="EZ181" i="31"/>
  <c r="FA181" i="31"/>
  <c r="FB181" i="31"/>
  <c r="FC181" i="31"/>
  <c r="FD181" i="31"/>
  <c r="EW182" i="31"/>
  <c r="EX182" i="31"/>
  <c r="EY182" i="31"/>
  <c r="EZ182" i="31"/>
  <c r="FA182" i="31"/>
  <c r="FB182" i="31"/>
  <c r="FC182" i="31"/>
  <c r="FD182" i="31"/>
  <c r="EW183" i="31"/>
  <c r="EX183" i="31"/>
  <c r="EY183" i="31"/>
  <c r="EZ183" i="31"/>
  <c r="FA183" i="31"/>
  <c r="FB183" i="31"/>
  <c r="FC183" i="31"/>
  <c r="FD183" i="31"/>
  <c r="EW184" i="31"/>
  <c r="EX184" i="31"/>
  <c r="EY184" i="31"/>
  <c r="EZ184" i="31"/>
  <c r="FA184" i="31"/>
  <c r="FB184" i="31"/>
  <c r="FC184" i="31"/>
  <c r="FD184" i="31"/>
  <c r="EW185" i="31"/>
  <c r="EX185" i="31"/>
  <c r="EY185" i="31"/>
  <c r="EZ185" i="31"/>
  <c r="FA185" i="31"/>
  <c r="FB185" i="31"/>
  <c r="FC185" i="31"/>
  <c r="FD185" i="31"/>
  <c r="EW186" i="31"/>
  <c r="EX186" i="31"/>
  <c r="EY186" i="31"/>
  <c r="EZ186" i="31"/>
  <c r="FA186" i="31"/>
  <c r="FB186" i="31"/>
  <c r="FC186" i="31"/>
  <c r="FD186" i="31"/>
  <c r="EW187" i="31"/>
  <c r="EX187" i="31"/>
  <c r="EY187" i="31"/>
  <c r="EZ187" i="31"/>
  <c r="FA187" i="31"/>
  <c r="FB187" i="31"/>
  <c r="FC187" i="31"/>
  <c r="FD187" i="31"/>
  <c r="EW188" i="31"/>
  <c r="EX188" i="31"/>
  <c r="EY188" i="31"/>
  <c r="EZ188" i="31"/>
  <c r="FA188" i="31"/>
  <c r="FB188" i="31"/>
  <c r="FC188" i="31"/>
  <c r="FD188" i="31"/>
  <c r="EW189" i="31"/>
  <c r="EX189" i="31"/>
  <c r="EY189" i="31"/>
  <c r="EZ189" i="31"/>
  <c r="FA189" i="31"/>
  <c r="FB189" i="31"/>
  <c r="FC189" i="31"/>
  <c r="FD189" i="31"/>
  <c r="EW190" i="31"/>
  <c r="EX190" i="31"/>
  <c r="EY190" i="31"/>
  <c r="EZ190" i="31"/>
  <c r="FA190" i="31"/>
  <c r="FB190" i="31"/>
  <c r="FC190" i="31"/>
  <c r="FD190" i="31"/>
  <c r="EW191" i="31"/>
  <c r="EX191" i="31"/>
  <c r="EY191" i="31"/>
  <c r="EZ191" i="31"/>
  <c r="FA191" i="31"/>
  <c r="FB191" i="31"/>
  <c r="FC191" i="31"/>
  <c r="FD191" i="31"/>
  <c r="EW192" i="31"/>
  <c r="EX192" i="31"/>
  <c r="EY192" i="31"/>
  <c r="EZ192" i="31"/>
  <c r="FA192" i="31"/>
  <c r="FB192" i="31"/>
  <c r="FC192" i="31"/>
  <c r="FD192" i="31"/>
  <c r="EW193" i="31"/>
  <c r="EX193" i="31"/>
  <c r="EY193" i="31"/>
  <c r="EZ193" i="31"/>
  <c r="FA193" i="31"/>
  <c r="FB193" i="31"/>
  <c r="FC193" i="31"/>
  <c r="FD193" i="31"/>
  <c r="EW194" i="31"/>
  <c r="EX194" i="31"/>
  <c r="EY194" i="31"/>
  <c r="EZ194" i="31"/>
  <c r="FA194" i="31"/>
  <c r="FB194" i="31"/>
  <c r="FC194" i="31"/>
  <c r="FD194" i="31"/>
  <c r="EW195" i="31"/>
  <c r="EX195" i="31"/>
  <c r="EY195" i="31"/>
  <c r="EZ195" i="31"/>
  <c r="FA195" i="31"/>
  <c r="FB195" i="31"/>
  <c r="FC195" i="31"/>
  <c r="FD195" i="31"/>
  <c r="EW196" i="31"/>
  <c r="EX196" i="31"/>
  <c r="EY196" i="31"/>
  <c r="EZ196" i="31"/>
  <c r="FA196" i="31"/>
  <c r="FB196" i="31"/>
  <c r="FC196" i="31"/>
  <c r="FD196" i="31"/>
  <c r="EW197" i="31"/>
  <c r="EX197" i="31"/>
  <c r="EY197" i="31"/>
  <c r="EZ197" i="31"/>
  <c r="FA197" i="31"/>
  <c r="FB197" i="31"/>
  <c r="FC197" i="31"/>
  <c r="FD197" i="31"/>
  <c r="EW198" i="31"/>
  <c r="EX198" i="31"/>
  <c r="EY198" i="31"/>
  <c r="EZ198" i="31"/>
  <c r="FA198" i="31"/>
  <c r="FB198" i="31"/>
  <c r="FC198" i="31"/>
  <c r="FD198" i="31"/>
  <c r="EW199" i="31"/>
  <c r="EX199" i="31"/>
  <c r="EY199" i="31"/>
  <c r="EZ199" i="31"/>
  <c r="FA199" i="31"/>
  <c r="FB199" i="31"/>
  <c r="FC199" i="31"/>
  <c r="FD199" i="31"/>
  <c r="EW200" i="31"/>
  <c r="EX200" i="31"/>
  <c r="EY200" i="31"/>
  <c r="EZ200" i="31"/>
  <c r="FA200" i="31"/>
  <c r="FB200" i="31"/>
  <c r="FC200" i="31"/>
  <c r="FD200" i="31"/>
  <c r="EW201" i="31"/>
  <c r="EX201" i="31"/>
  <c r="EY201" i="31"/>
  <c r="EZ201" i="31"/>
  <c r="FA201" i="31"/>
  <c r="FB201" i="31"/>
  <c r="FC201" i="31"/>
  <c r="FD201" i="31"/>
  <c r="EW202" i="31"/>
  <c r="EX202" i="31"/>
  <c r="EY202" i="31"/>
  <c r="EZ202" i="31"/>
  <c r="FA202" i="31"/>
  <c r="FB202" i="31"/>
  <c r="FC202" i="31"/>
  <c r="FD202" i="31"/>
  <c r="EW203" i="31"/>
  <c r="EX203" i="31"/>
  <c r="EY203" i="31"/>
  <c r="EZ203" i="31"/>
  <c r="FA203" i="31"/>
  <c r="FB203" i="31"/>
  <c r="FC203" i="31"/>
  <c r="FD203" i="31"/>
  <c r="EW204" i="31"/>
  <c r="EX204" i="31"/>
  <c r="EY204" i="31"/>
  <c r="EZ204" i="31"/>
  <c r="FA204" i="31"/>
  <c r="FB204" i="31"/>
  <c r="FC204" i="31"/>
  <c r="FD204" i="31"/>
  <c r="EW205" i="31"/>
  <c r="EX205" i="31"/>
  <c r="EY205" i="31"/>
  <c r="EZ205" i="31"/>
  <c r="FA205" i="31"/>
  <c r="FB205" i="31"/>
  <c r="FC205" i="31"/>
  <c r="FD205" i="31"/>
  <c r="EW206" i="31"/>
  <c r="EX206" i="31"/>
  <c r="EY206" i="31"/>
  <c r="EZ206" i="31"/>
  <c r="FA206" i="31"/>
  <c r="FB206" i="31"/>
  <c r="FC206" i="31"/>
  <c r="FD206" i="31"/>
  <c r="EW207" i="31"/>
  <c r="EX207" i="31"/>
  <c r="EY207" i="31"/>
  <c r="EZ207" i="31"/>
  <c r="FA207" i="31"/>
  <c r="FB207" i="31"/>
  <c r="FC207" i="31"/>
  <c r="FD207" i="31"/>
  <c r="EW208" i="31"/>
  <c r="EX208" i="31"/>
  <c r="EY208" i="31"/>
  <c r="EZ208" i="31"/>
  <c r="FA208" i="31"/>
  <c r="FB208" i="31"/>
  <c r="FC208" i="31"/>
  <c r="FD208" i="31"/>
  <c r="EW209" i="31"/>
  <c r="EX209" i="31"/>
  <c r="EY209" i="31"/>
  <c r="EZ209" i="31"/>
  <c r="FA209" i="31"/>
  <c r="FB209" i="31"/>
  <c r="FC209" i="31"/>
  <c r="FD209" i="31"/>
  <c r="EW210" i="31"/>
  <c r="EX210" i="31"/>
  <c r="EY210" i="31"/>
  <c r="EZ210" i="31"/>
  <c r="FA210" i="31"/>
  <c r="FB210" i="31"/>
  <c r="FC210" i="31"/>
  <c r="FD210" i="31"/>
  <c r="EW211" i="31"/>
  <c r="EX211" i="31"/>
  <c r="EY211" i="31"/>
  <c r="EZ211" i="31"/>
  <c r="FA211" i="31"/>
  <c r="FB211" i="31"/>
  <c r="FC211" i="31"/>
  <c r="FD211" i="31"/>
  <c r="EW212" i="31"/>
  <c r="EX212" i="31"/>
  <c r="EY212" i="31"/>
  <c r="EZ212" i="31"/>
  <c r="FA212" i="31"/>
  <c r="FB212" i="31"/>
  <c r="FC212" i="31"/>
  <c r="FD212" i="31"/>
  <c r="EW213" i="31"/>
  <c r="EX213" i="31"/>
  <c r="EY213" i="31"/>
  <c r="EZ213" i="31"/>
  <c r="FA213" i="31"/>
  <c r="FB213" i="31"/>
  <c r="FC213" i="31"/>
  <c r="FD213" i="31"/>
  <c r="EW214" i="31"/>
  <c r="EX214" i="31"/>
  <c r="EY214" i="31"/>
  <c r="EZ214" i="31"/>
  <c r="FA214" i="31"/>
  <c r="FB214" i="31"/>
  <c r="FC214" i="31"/>
  <c r="FD214" i="31"/>
  <c r="EW215" i="31"/>
  <c r="EX215" i="31"/>
  <c r="EY215" i="31"/>
  <c r="EZ215" i="31"/>
  <c r="FA215" i="31"/>
  <c r="FB215" i="31"/>
  <c r="FC215" i="31"/>
  <c r="FD215" i="31"/>
  <c r="EW216" i="31"/>
  <c r="EX216" i="31"/>
  <c r="EY216" i="31"/>
  <c r="EZ216" i="31"/>
  <c r="FA216" i="31"/>
  <c r="FB216" i="31"/>
  <c r="FC216" i="31"/>
  <c r="FD216" i="31"/>
  <c r="EW217" i="31"/>
  <c r="EX217" i="31"/>
  <c r="EY217" i="31"/>
  <c r="EZ217" i="31"/>
  <c r="FA217" i="31"/>
  <c r="FB217" i="31"/>
  <c r="FC217" i="31"/>
  <c r="FD217" i="31"/>
  <c r="EW218" i="31"/>
  <c r="EX218" i="31"/>
  <c r="EY218" i="31"/>
  <c r="EZ218" i="31"/>
  <c r="FA218" i="31"/>
  <c r="FB218" i="31"/>
  <c r="FC218" i="31"/>
  <c r="FD218" i="31"/>
  <c r="EW219" i="31"/>
  <c r="EX219" i="31"/>
  <c r="EY219" i="31"/>
  <c r="EZ219" i="31"/>
  <c r="FA219" i="31"/>
  <c r="FB219" i="31"/>
  <c r="FC219" i="31"/>
  <c r="FD219" i="31"/>
  <c r="EW220" i="31"/>
  <c r="EX220" i="31"/>
  <c r="EY220" i="31"/>
  <c r="EZ220" i="31"/>
  <c r="FA220" i="31"/>
  <c r="FB220" i="31"/>
  <c r="FC220" i="31"/>
  <c r="FD220" i="31"/>
  <c r="EW221" i="31"/>
  <c r="EX221" i="31"/>
  <c r="EY221" i="31"/>
  <c r="EZ221" i="31"/>
  <c r="FA221" i="31"/>
  <c r="FB221" i="31"/>
  <c r="FC221" i="31"/>
  <c r="FD221" i="31"/>
  <c r="EW222" i="31"/>
  <c r="EX222" i="31"/>
  <c r="EY222" i="31"/>
  <c r="EZ222" i="31"/>
  <c r="FA222" i="31"/>
  <c r="FB222" i="31"/>
  <c r="FC222" i="31"/>
  <c r="FD222" i="31"/>
  <c r="EW223" i="31"/>
  <c r="EX223" i="31"/>
  <c r="EY223" i="31"/>
  <c r="EZ223" i="31"/>
  <c r="FA223" i="31"/>
  <c r="FB223" i="31"/>
  <c r="FC223" i="31"/>
  <c r="FD223" i="31"/>
  <c r="EW224" i="31"/>
  <c r="EX224" i="31"/>
  <c r="EY224" i="31"/>
  <c r="EZ224" i="31"/>
  <c r="FA224" i="31"/>
  <c r="FB224" i="31"/>
  <c r="FC224" i="31"/>
  <c r="FD224" i="31"/>
  <c r="EW225" i="31"/>
  <c r="EX225" i="31"/>
  <c r="EY225" i="31"/>
  <c r="EZ225" i="31"/>
  <c r="FA225" i="31"/>
  <c r="FB225" i="31"/>
  <c r="FC225" i="31"/>
  <c r="FD225" i="31"/>
  <c r="EW226" i="31"/>
  <c r="EX226" i="31"/>
  <c r="EY226" i="31"/>
  <c r="EZ226" i="31"/>
  <c r="FA226" i="31"/>
  <c r="FB226" i="31"/>
  <c r="FC226" i="31"/>
  <c r="FD226" i="31"/>
  <c r="EW227" i="31"/>
  <c r="EX227" i="31"/>
  <c r="EY227" i="31"/>
  <c r="EZ227" i="31"/>
  <c r="FA227" i="31"/>
  <c r="FB227" i="31"/>
  <c r="FC227" i="31"/>
  <c r="FD227" i="31"/>
  <c r="EW228" i="31"/>
  <c r="EX228" i="31"/>
  <c r="EY228" i="31"/>
  <c r="EZ228" i="31"/>
  <c r="FA228" i="31"/>
  <c r="FB228" i="31"/>
  <c r="FC228" i="31"/>
  <c r="FD228" i="31"/>
  <c r="EW229" i="31"/>
  <c r="EX229" i="31"/>
  <c r="EY229" i="31"/>
  <c r="EZ229" i="31"/>
  <c r="FA229" i="31"/>
  <c r="FB229" i="31"/>
  <c r="FC229" i="31"/>
  <c r="FD229" i="31"/>
  <c r="EW230" i="31"/>
  <c r="EX230" i="31"/>
  <c r="EY230" i="31"/>
  <c r="EZ230" i="31"/>
  <c r="FA230" i="31"/>
  <c r="FB230" i="31"/>
  <c r="FC230" i="31"/>
  <c r="FD230" i="31"/>
  <c r="EW231" i="31"/>
  <c r="EX231" i="31"/>
  <c r="EY231" i="31"/>
  <c r="EZ231" i="31"/>
  <c r="FA231" i="31"/>
  <c r="FB231" i="31"/>
  <c r="FC231" i="31"/>
  <c r="FD231" i="31"/>
  <c r="EW232" i="31"/>
  <c r="EX232" i="31"/>
  <c r="EY232" i="31"/>
  <c r="EZ232" i="31"/>
  <c r="FA232" i="31"/>
  <c r="FB232" i="31"/>
  <c r="FC232" i="31"/>
  <c r="FD232" i="31"/>
  <c r="EW233" i="31"/>
  <c r="EX233" i="31"/>
  <c r="EY233" i="31"/>
  <c r="EZ233" i="31"/>
  <c r="FA233" i="31"/>
  <c r="FB233" i="31"/>
  <c r="FC233" i="31"/>
  <c r="FD233" i="31"/>
  <c r="EW234" i="31"/>
  <c r="EX234" i="31"/>
  <c r="EY234" i="31"/>
  <c r="EZ234" i="31"/>
  <c r="FA234" i="31"/>
  <c r="FB234" i="31"/>
  <c r="FC234" i="31"/>
  <c r="FD234" i="31"/>
  <c r="EW235" i="31"/>
  <c r="EX235" i="31"/>
  <c r="EY235" i="31"/>
  <c r="EZ235" i="31"/>
  <c r="FA235" i="31"/>
  <c r="FB235" i="31"/>
  <c r="FC235" i="31"/>
  <c r="FD235" i="31"/>
  <c r="EW236" i="31"/>
  <c r="EX236" i="31"/>
  <c r="EY236" i="31"/>
  <c r="EZ236" i="31"/>
  <c r="FA236" i="31"/>
  <c r="FB236" i="31"/>
  <c r="FC236" i="31"/>
  <c r="FD236" i="31"/>
  <c r="EW237" i="31"/>
  <c r="EX237" i="31"/>
  <c r="EY237" i="31"/>
  <c r="EZ237" i="31"/>
  <c r="FA237" i="31"/>
  <c r="FB237" i="31"/>
  <c r="FC237" i="31"/>
  <c r="FD237" i="31"/>
  <c r="EW238" i="31"/>
  <c r="EX238" i="31"/>
  <c r="EY238" i="31"/>
  <c r="EZ238" i="31"/>
  <c r="FA238" i="31"/>
  <c r="FB238" i="31"/>
  <c r="FC238" i="31"/>
  <c r="FD238" i="31"/>
  <c r="EW239" i="31"/>
  <c r="EX239" i="31"/>
  <c r="EY239" i="31"/>
  <c r="EZ239" i="31"/>
  <c r="FA239" i="31"/>
  <c r="FB239" i="31"/>
  <c r="FC239" i="31"/>
  <c r="FD239" i="31"/>
  <c r="EW240" i="31"/>
  <c r="EX240" i="31"/>
  <c r="EY240" i="31"/>
  <c r="EZ240" i="31"/>
  <c r="FA240" i="31"/>
  <c r="FB240" i="31"/>
  <c r="FC240" i="31"/>
  <c r="FD240" i="31"/>
  <c r="EW241" i="31"/>
  <c r="EX241" i="31"/>
  <c r="EY241" i="31"/>
  <c r="EZ241" i="31"/>
  <c r="FA241" i="31"/>
  <c r="FB241" i="31"/>
  <c r="FC241" i="31"/>
  <c r="FD241" i="31"/>
  <c r="EW242" i="31"/>
  <c r="EX242" i="31"/>
  <c r="EY242" i="31"/>
  <c r="EZ242" i="31"/>
  <c r="FA242" i="31"/>
  <c r="FB242" i="31"/>
  <c r="FC242" i="31"/>
  <c r="FD242" i="31"/>
  <c r="EW243" i="31"/>
  <c r="EX243" i="31"/>
  <c r="EY243" i="31"/>
  <c r="EZ243" i="31"/>
  <c r="FA243" i="31"/>
  <c r="FB243" i="31"/>
  <c r="FC243" i="31"/>
  <c r="FD243" i="31"/>
  <c r="EW244" i="31"/>
  <c r="EX244" i="31"/>
  <c r="EY244" i="31"/>
  <c r="EZ244" i="31"/>
  <c r="FA244" i="31"/>
  <c r="FB244" i="31"/>
  <c r="FC244" i="31"/>
  <c r="FD244" i="31"/>
  <c r="EW245" i="31"/>
  <c r="EX245" i="31"/>
  <c r="EY245" i="31"/>
  <c r="EZ245" i="31"/>
  <c r="FA245" i="31"/>
  <c r="FB245" i="31"/>
  <c r="FC245" i="31"/>
  <c r="FD245" i="31"/>
  <c r="EW246" i="31"/>
  <c r="EX246" i="31"/>
  <c r="EY246" i="31"/>
  <c r="EZ246" i="31"/>
  <c r="FA246" i="31"/>
  <c r="FB246" i="31"/>
  <c r="FC246" i="31"/>
  <c r="FD246" i="31"/>
  <c r="EW247" i="31"/>
  <c r="EX247" i="31"/>
  <c r="EY247" i="31"/>
  <c r="EZ247" i="31"/>
  <c r="FA247" i="31"/>
  <c r="FB247" i="31"/>
  <c r="FC247" i="31"/>
  <c r="FD247" i="31"/>
  <c r="EW248" i="31"/>
  <c r="EX248" i="31"/>
  <c r="EY248" i="31"/>
  <c r="EZ248" i="31"/>
  <c r="FA248" i="31"/>
  <c r="FB248" i="31"/>
  <c r="FC248" i="31"/>
  <c r="FD248" i="31"/>
  <c r="EW249" i="31"/>
  <c r="EX249" i="31"/>
  <c r="EY249" i="31"/>
  <c r="EZ249" i="31"/>
  <c r="FA249" i="31"/>
  <c r="FB249" i="31"/>
  <c r="FC249" i="31"/>
  <c r="FD249" i="31"/>
  <c r="EW250" i="31"/>
  <c r="EX250" i="31"/>
  <c r="EY250" i="31"/>
  <c r="EZ250" i="31"/>
  <c r="FA250" i="31"/>
  <c r="FB250" i="31"/>
  <c r="FC250" i="31"/>
  <c r="FD250" i="31"/>
  <c r="EW251" i="31"/>
  <c r="EX251" i="31"/>
  <c r="EY251" i="31"/>
  <c r="EZ251" i="31"/>
  <c r="FA251" i="31"/>
  <c r="FB251" i="31"/>
  <c r="FC251" i="31"/>
  <c r="FD251" i="31"/>
  <c r="EW252" i="31"/>
  <c r="EX252" i="31"/>
  <c r="EY252" i="31"/>
  <c r="EZ252" i="31"/>
  <c r="FA252" i="31"/>
  <c r="FB252" i="31"/>
  <c r="FC252" i="31"/>
  <c r="FD252" i="31"/>
  <c r="EW253" i="31"/>
  <c r="EX253" i="31"/>
  <c r="EY253" i="31"/>
  <c r="EZ253" i="31"/>
  <c r="FA253" i="31"/>
  <c r="FB253" i="31"/>
  <c r="FC253" i="31"/>
  <c r="FD253" i="31"/>
  <c r="EW254" i="31"/>
  <c r="EX254" i="31"/>
  <c r="EY254" i="31"/>
  <c r="EZ254" i="31"/>
  <c r="FA254" i="31"/>
  <c r="FB254" i="31"/>
  <c r="FC254" i="31"/>
  <c r="FD254" i="31"/>
  <c r="EW255" i="31"/>
  <c r="EX255" i="31"/>
  <c r="EY255" i="31"/>
  <c r="EZ255" i="31"/>
  <c r="FA255" i="31"/>
  <c r="FB255" i="31"/>
  <c r="FC255" i="31"/>
  <c r="FD255" i="31"/>
  <c r="EW256" i="31"/>
  <c r="EX256" i="31"/>
  <c r="EY256" i="31"/>
  <c r="EZ256" i="31"/>
  <c r="FA256" i="31"/>
  <c r="FB256" i="31"/>
  <c r="FC256" i="31"/>
  <c r="FD256" i="31"/>
  <c r="EW257" i="31"/>
  <c r="EX257" i="31"/>
  <c r="EY257" i="31"/>
  <c r="EZ257" i="31"/>
  <c r="FA257" i="31"/>
  <c r="FB257" i="31"/>
  <c r="FC257" i="31"/>
  <c r="FD257" i="31"/>
  <c r="EW258" i="31"/>
  <c r="EX258" i="31"/>
  <c r="EY258" i="31"/>
  <c r="EZ258" i="31"/>
  <c r="FA258" i="31"/>
  <c r="FB258" i="31"/>
  <c r="FC258" i="31"/>
  <c r="FD258" i="31"/>
  <c r="EW259" i="31"/>
  <c r="EX259" i="31"/>
  <c r="EY259" i="31"/>
  <c r="EZ259" i="31"/>
  <c r="FA259" i="31"/>
  <c r="FB259" i="31"/>
  <c r="FC259" i="31"/>
  <c r="FD259" i="31"/>
  <c r="EW260" i="31"/>
  <c r="EX260" i="31"/>
  <c r="EY260" i="31"/>
  <c r="EZ260" i="31"/>
  <c r="FA260" i="31"/>
  <c r="FB260" i="31"/>
  <c r="FC260" i="31"/>
  <c r="FD260" i="31"/>
  <c r="EW261" i="31"/>
  <c r="EX261" i="31"/>
  <c r="EY261" i="31"/>
  <c r="EZ261" i="31"/>
  <c r="FA261" i="31"/>
  <c r="FB261" i="31"/>
  <c r="FC261" i="31"/>
  <c r="FD261" i="31"/>
  <c r="EW262" i="31"/>
  <c r="EX262" i="31"/>
  <c r="EY262" i="31"/>
  <c r="EZ262" i="31"/>
  <c r="FA262" i="31"/>
  <c r="FB262" i="31"/>
  <c r="FC262" i="31"/>
  <c r="FD262" i="31"/>
  <c r="FD8" i="31"/>
  <c r="FB8" i="31"/>
  <c r="EZ8" i="31"/>
  <c r="EX8" i="31"/>
  <c r="FC8" i="31"/>
  <c r="FA8" i="31"/>
  <c r="EY8" i="31"/>
  <c r="EW8" i="31"/>
  <c r="FE4" i="31"/>
  <c r="F18" i="39"/>
  <c r="EW6" i="31"/>
  <c r="FF4" i="31"/>
  <c r="I4" i="39" l="1"/>
  <c r="I14" i="39"/>
  <c r="I11" i="39"/>
  <c r="I8" i="39"/>
  <c r="I22" i="39"/>
  <c r="I12" i="39"/>
  <c r="N4" i="39"/>
  <c r="N14" i="39"/>
  <c r="N11" i="39"/>
  <c r="N8" i="39"/>
  <c r="N22" i="39"/>
  <c r="N12" i="39"/>
  <c r="S4" i="39"/>
  <c r="S14" i="39"/>
  <c r="S11" i="39"/>
  <c r="S8" i="39"/>
  <c r="S22" i="39"/>
  <c r="S12" i="39"/>
  <c r="K7" i="39"/>
  <c r="P10" i="39"/>
  <c r="U15" i="39"/>
  <c r="K4" i="39"/>
  <c r="K14" i="39"/>
  <c r="K11" i="39"/>
  <c r="K8" i="39"/>
  <c r="K22" i="39"/>
  <c r="K12" i="39"/>
  <c r="P4" i="39"/>
  <c r="P14" i="39"/>
  <c r="P11" i="39"/>
  <c r="P8" i="39"/>
  <c r="P22" i="39"/>
  <c r="P12" i="39"/>
  <c r="U4" i="39"/>
  <c r="U14" i="39"/>
  <c r="U11" i="39"/>
  <c r="U8" i="39"/>
  <c r="U22" i="39"/>
  <c r="U12" i="39"/>
  <c r="K19" i="39"/>
  <c r="P20" i="39"/>
  <c r="U7" i="39"/>
  <c r="I6" i="39"/>
  <c r="I2" i="39"/>
  <c r="I24" i="39"/>
  <c r="I25" i="39"/>
  <c r="I13" i="39"/>
  <c r="I21" i="39"/>
  <c r="N6" i="39"/>
  <c r="N2" i="39"/>
  <c r="N24" i="39"/>
  <c r="N25" i="39"/>
  <c r="N13" i="39"/>
  <c r="N21" i="39"/>
  <c r="S6" i="39"/>
  <c r="S2" i="39"/>
  <c r="S24" i="39"/>
  <c r="S25" i="39"/>
  <c r="S13" i="39"/>
  <c r="S21" i="39"/>
  <c r="K5" i="39"/>
  <c r="U5" i="39"/>
  <c r="K6" i="39"/>
  <c r="K2" i="39"/>
  <c r="K24" i="39"/>
  <c r="K25" i="39"/>
  <c r="K13" i="39"/>
  <c r="K21" i="39"/>
  <c r="P6" i="39"/>
  <c r="P2" i="39"/>
  <c r="P24" i="39"/>
  <c r="P25" i="39"/>
  <c r="P13" i="39"/>
  <c r="P21" i="39"/>
  <c r="U6" i="39"/>
  <c r="U2" i="39"/>
  <c r="U24" i="39"/>
  <c r="U25" i="39"/>
  <c r="U13" i="39"/>
  <c r="U21" i="39"/>
  <c r="K10" i="39"/>
  <c r="I15" i="39"/>
  <c r="I10" i="39"/>
  <c r="I5" i="39"/>
  <c r="I20" i="39"/>
  <c r="I7" i="39"/>
  <c r="I19" i="39"/>
  <c r="N15" i="39"/>
  <c r="N10" i="39"/>
  <c r="N5" i="39"/>
  <c r="N20" i="39"/>
  <c r="N7" i="39"/>
  <c r="N19" i="39"/>
  <c r="S15" i="39"/>
  <c r="S10" i="39"/>
  <c r="S5" i="39"/>
  <c r="S20" i="39"/>
  <c r="S7" i="39"/>
  <c r="S19" i="39"/>
  <c r="K15" i="39"/>
  <c r="P7" i="39"/>
  <c r="U19" i="39"/>
  <c r="I17" i="39"/>
  <c r="I18" i="39"/>
  <c r="I9" i="39"/>
  <c r="I16" i="39"/>
  <c r="I23" i="39"/>
  <c r="I26" i="39"/>
  <c r="N17" i="39"/>
  <c r="N18" i="39"/>
  <c r="O18" i="39" s="1"/>
  <c r="N9" i="39"/>
  <c r="N16" i="39"/>
  <c r="N23" i="39"/>
  <c r="N26" i="39"/>
  <c r="S17" i="39"/>
  <c r="S18" i="39"/>
  <c r="S9" i="39"/>
  <c r="S16" i="39"/>
  <c r="S23" i="39"/>
  <c r="S26" i="39"/>
  <c r="P15" i="39"/>
  <c r="P5" i="39"/>
  <c r="P19" i="39"/>
  <c r="U20" i="39"/>
  <c r="K17" i="39"/>
  <c r="K18" i="39"/>
  <c r="K9" i="39"/>
  <c r="K16" i="39"/>
  <c r="K23" i="39"/>
  <c r="K26" i="39"/>
  <c r="P17" i="39"/>
  <c r="P18" i="39"/>
  <c r="P9" i="39"/>
  <c r="P16" i="39"/>
  <c r="P23" i="39"/>
  <c r="P26" i="39"/>
  <c r="U17" i="39"/>
  <c r="U18" i="39"/>
  <c r="V18" i="39" s="1"/>
  <c r="U9" i="39"/>
  <c r="U16" i="39"/>
  <c r="U23" i="39"/>
  <c r="U26" i="39"/>
  <c r="K20" i="39"/>
  <c r="U10" i="39"/>
  <c r="N3" i="39"/>
  <c r="L18" i="39"/>
  <c r="H18" i="39"/>
  <c r="J18" i="39"/>
  <c r="Q18" i="39"/>
  <c r="M18" i="39"/>
  <c r="R18" i="39"/>
  <c r="T18" i="39"/>
  <c r="S3" i="39"/>
  <c r="U3" i="39"/>
  <c r="E3" i="39"/>
  <c r="FA6" i="31"/>
  <c r="FC6" i="31"/>
  <c r="EY6" i="31"/>
  <c r="K3" i="39" l="1"/>
  <c r="P3" i="39"/>
  <c r="I3" i="39"/>
  <c r="ED24" i="31"/>
  <c r="EE24" i="31"/>
  <c r="EF24" i="31"/>
  <c r="EG24" i="31"/>
  <c r="EH24" i="31"/>
  <c r="ED25" i="31"/>
  <c r="EE25" i="31"/>
  <c r="EF25" i="31"/>
  <c r="EG25" i="31"/>
  <c r="EH25" i="31"/>
  <c r="ED10" i="31"/>
  <c r="EE10" i="31"/>
  <c r="EF10" i="31"/>
  <c r="EG10" i="31"/>
  <c r="EH10" i="31"/>
  <c r="ED11" i="31"/>
  <c r="EE11" i="31"/>
  <c r="EF11" i="31"/>
  <c r="EG11" i="31"/>
  <c r="EH11" i="31"/>
  <c r="ED12" i="31"/>
  <c r="EE12" i="31"/>
  <c r="EF12" i="31"/>
  <c r="EG12" i="31"/>
  <c r="EH12" i="31"/>
  <c r="ED13" i="31"/>
  <c r="EE13" i="31"/>
  <c r="EF13" i="31"/>
  <c r="EG13" i="31"/>
  <c r="EH13" i="31"/>
  <c r="ED14" i="31"/>
  <c r="EE14" i="31"/>
  <c r="EF14" i="31"/>
  <c r="EG14" i="31"/>
  <c r="EH14" i="31"/>
  <c r="ED15" i="31"/>
  <c r="EE15" i="31"/>
  <c r="EF15" i="31"/>
  <c r="EG15" i="31"/>
  <c r="EH15" i="31"/>
  <c r="ED16" i="31"/>
  <c r="EE16" i="31"/>
  <c r="EF16" i="31"/>
  <c r="EG16" i="31"/>
  <c r="EH16" i="31"/>
  <c r="ED17" i="31"/>
  <c r="EE17" i="31"/>
  <c r="EF17" i="31"/>
  <c r="EG17" i="31"/>
  <c r="EH17" i="31"/>
  <c r="ED18" i="31"/>
  <c r="EE18" i="31"/>
  <c r="EF18" i="31"/>
  <c r="EG18" i="31"/>
  <c r="EH18" i="31"/>
  <c r="ED19" i="31"/>
  <c r="EE19" i="31"/>
  <c r="EF19" i="31"/>
  <c r="EG19" i="31"/>
  <c r="EH19" i="31"/>
  <c r="ED20" i="31"/>
  <c r="EE20" i="31"/>
  <c r="EF20" i="31"/>
  <c r="EG20" i="31"/>
  <c r="EH20" i="31"/>
  <c r="ED21" i="31"/>
  <c r="EE21" i="31"/>
  <c r="EF21" i="31"/>
  <c r="EG21" i="31"/>
  <c r="EH21" i="31"/>
  <c r="ED22" i="31"/>
  <c r="EE22" i="31"/>
  <c r="EF22" i="31"/>
  <c r="EG22" i="31"/>
  <c r="EH22" i="31"/>
  <c r="ED23" i="31"/>
  <c r="EE23" i="31"/>
  <c r="EF23" i="31"/>
  <c r="EG23" i="31"/>
  <c r="EH23" i="31"/>
  <c r="EH9" i="31"/>
  <c r="EG9" i="31"/>
  <c r="EF9" i="31"/>
  <c r="EE9" i="31"/>
  <c r="ED9" i="31"/>
  <c r="ED4" i="31"/>
  <c r="S20" i="2"/>
  <c r="P20" i="2"/>
  <c r="R20" i="2"/>
  <c r="Q20" i="2"/>
  <c r="EV262" i="31" l="1"/>
  <c r="EV242" i="31"/>
  <c r="EV243" i="31"/>
  <c r="EV244" i="31"/>
  <c r="EV245" i="31"/>
  <c r="EV246" i="31"/>
  <c r="EV247" i="31"/>
  <c r="EV248" i="31"/>
  <c r="EV249" i="31"/>
  <c r="EV250" i="31"/>
  <c r="EV251" i="31"/>
  <c r="EV252" i="31"/>
  <c r="EV253" i="31"/>
  <c r="EV254" i="31"/>
  <c r="EV255" i="31"/>
  <c r="EV256" i="31"/>
  <c r="EV257" i="31"/>
  <c r="EV258" i="31"/>
  <c r="EV259" i="31"/>
  <c r="EV260" i="31"/>
  <c r="EV261" i="31"/>
  <c r="EV220" i="31"/>
  <c r="EV221" i="31"/>
  <c r="EV222" i="31"/>
  <c r="EV223" i="31"/>
  <c r="EV224" i="31"/>
  <c r="EV225" i="31"/>
  <c r="EV226" i="31"/>
  <c r="EV227" i="31"/>
  <c r="EV228" i="31"/>
  <c r="EV229" i="31"/>
  <c r="EV230" i="31"/>
  <c r="EV231" i="31"/>
  <c r="EV232" i="31"/>
  <c r="EV233" i="31"/>
  <c r="EV234" i="31"/>
  <c r="EV235" i="31"/>
  <c r="EV236" i="31"/>
  <c r="EV237" i="31"/>
  <c r="EV238" i="31"/>
  <c r="EV239" i="31"/>
  <c r="EV240" i="31"/>
  <c r="EV241" i="31"/>
  <c r="EV150" i="31"/>
  <c r="EV151" i="31"/>
  <c r="EV152" i="31"/>
  <c r="EV153" i="31"/>
  <c r="EV154" i="31"/>
  <c r="EV155" i="31"/>
  <c r="EV156" i="31"/>
  <c r="EV157" i="31"/>
  <c r="EV158" i="31"/>
  <c r="EV159" i="31"/>
  <c r="EV160" i="31"/>
  <c r="EV161" i="31"/>
  <c r="EV162" i="31"/>
  <c r="EV163" i="31"/>
  <c r="EV164" i="31"/>
  <c r="EV165" i="31"/>
  <c r="EV166" i="31"/>
  <c r="EV167" i="31"/>
  <c r="EV168" i="31"/>
  <c r="EV169" i="31"/>
  <c r="EV170" i="31"/>
  <c r="EV171" i="31"/>
  <c r="EV172" i="31"/>
  <c r="EV173" i="31"/>
  <c r="EV174" i="31"/>
  <c r="EV175" i="31"/>
  <c r="EV176" i="31"/>
  <c r="EV177" i="31"/>
  <c r="EV178" i="31"/>
  <c r="EV179" i="31"/>
  <c r="EV180" i="31"/>
  <c r="EV181" i="31"/>
  <c r="EV182" i="31"/>
  <c r="EV183" i="31"/>
  <c r="EV184" i="31"/>
  <c r="EV185" i="31"/>
  <c r="EV186" i="31"/>
  <c r="EV187" i="31"/>
  <c r="EV188" i="31"/>
  <c r="EV189" i="31"/>
  <c r="EV190" i="31"/>
  <c r="EV191" i="31"/>
  <c r="EV192" i="31"/>
  <c r="EV193" i="31"/>
  <c r="EV194" i="31"/>
  <c r="EV195" i="31"/>
  <c r="EV196" i="31"/>
  <c r="EV197" i="31"/>
  <c r="EV198" i="31"/>
  <c r="EV199" i="31"/>
  <c r="EV200" i="31"/>
  <c r="EV201" i="31"/>
  <c r="EV202" i="31"/>
  <c r="EV203" i="31"/>
  <c r="EV204" i="31"/>
  <c r="EV205" i="31"/>
  <c r="EV206" i="31"/>
  <c r="EV207" i="31"/>
  <c r="EV208" i="31"/>
  <c r="EV209" i="31"/>
  <c r="EV210" i="31"/>
  <c r="EV211" i="31"/>
  <c r="EV212" i="31"/>
  <c r="EV213" i="31"/>
  <c r="EV214" i="31"/>
  <c r="EV215" i="31"/>
  <c r="EV216" i="31"/>
  <c r="EV217" i="31"/>
  <c r="EV218" i="31"/>
  <c r="EV219" i="31"/>
  <c r="EV105" i="31"/>
  <c r="EV106" i="31"/>
  <c r="EV107" i="31"/>
  <c r="EV108" i="31"/>
  <c r="EV109" i="31"/>
  <c r="EV110" i="31"/>
  <c r="EV111" i="31"/>
  <c r="EV112" i="31"/>
  <c r="EV113" i="31"/>
  <c r="EV114" i="31"/>
  <c r="EV115" i="31"/>
  <c r="EV116" i="31"/>
  <c r="EV117" i="31"/>
  <c r="EV118" i="31"/>
  <c r="EV119" i="31"/>
  <c r="EV120" i="31"/>
  <c r="EV121" i="31"/>
  <c r="EV122" i="31"/>
  <c r="EV123" i="31"/>
  <c r="EV124" i="31"/>
  <c r="EV125" i="31"/>
  <c r="EV126" i="31"/>
  <c r="EV127" i="31"/>
  <c r="EV128" i="31"/>
  <c r="EV129" i="31"/>
  <c r="EV130" i="31"/>
  <c r="EV131" i="31"/>
  <c r="EV132" i="31"/>
  <c r="EV133" i="31"/>
  <c r="EV134" i="31"/>
  <c r="EV135" i="31"/>
  <c r="EV136" i="31"/>
  <c r="EV137" i="31"/>
  <c r="EV138" i="31"/>
  <c r="EV139" i="31"/>
  <c r="EV140" i="31"/>
  <c r="EV141" i="31"/>
  <c r="EV142" i="31"/>
  <c r="EV143" i="31"/>
  <c r="EV144" i="31"/>
  <c r="EV145" i="31"/>
  <c r="EV146" i="31"/>
  <c r="EV147" i="31"/>
  <c r="EV148" i="31"/>
  <c r="EV149" i="31"/>
  <c r="EV84" i="31"/>
  <c r="EV85" i="31"/>
  <c r="EV86" i="31"/>
  <c r="EV87" i="31"/>
  <c r="EV88" i="31"/>
  <c r="EV89" i="31"/>
  <c r="EV90" i="31"/>
  <c r="EV91" i="31"/>
  <c r="EV92" i="31"/>
  <c r="EV93" i="31"/>
  <c r="EV94" i="31"/>
  <c r="EV95" i="31"/>
  <c r="EV96" i="31"/>
  <c r="EV97" i="31"/>
  <c r="EV98" i="31"/>
  <c r="EV99" i="31"/>
  <c r="EV100" i="31"/>
  <c r="EV101" i="31"/>
  <c r="EV102" i="31"/>
  <c r="EV103" i="31"/>
  <c r="EV104" i="31"/>
  <c r="EV65" i="31"/>
  <c r="EV66" i="31"/>
  <c r="EV67" i="31"/>
  <c r="EV68" i="31"/>
  <c r="EV69" i="31"/>
  <c r="EV70" i="31"/>
  <c r="EV71" i="31"/>
  <c r="EV72" i="31"/>
  <c r="EV73" i="31"/>
  <c r="EV74" i="31"/>
  <c r="EV75" i="31"/>
  <c r="EV76" i="31"/>
  <c r="EV77" i="31"/>
  <c r="EV78" i="31"/>
  <c r="EV79" i="31"/>
  <c r="EV80" i="31"/>
  <c r="EV81" i="31"/>
  <c r="EV82" i="31"/>
  <c r="EV83" i="31"/>
  <c r="EV45" i="31"/>
  <c r="EV46" i="31"/>
  <c r="EV47" i="31"/>
  <c r="EV48" i="31"/>
  <c r="EV49" i="31"/>
  <c r="EV50" i="31"/>
  <c r="EV51" i="31"/>
  <c r="EV52" i="31"/>
  <c r="EV53" i="31"/>
  <c r="EV54" i="31"/>
  <c r="EV55" i="31"/>
  <c r="EV56" i="31"/>
  <c r="EV57" i="31"/>
  <c r="EV58" i="31"/>
  <c r="EV59" i="31"/>
  <c r="EV60" i="31"/>
  <c r="EV61" i="31"/>
  <c r="EV62" i="31"/>
  <c r="EV63" i="31"/>
  <c r="EV64" i="31"/>
  <c r="EV34" i="31"/>
  <c r="EV35" i="31"/>
  <c r="EV36" i="31"/>
  <c r="EV37" i="31"/>
  <c r="EV38" i="31"/>
  <c r="EV39" i="31"/>
  <c r="EV40" i="31"/>
  <c r="EV41" i="31"/>
  <c r="EV42" i="31"/>
  <c r="EV43" i="31"/>
  <c r="EV44" i="31"/>
  <c r="EV9" i="31"/>
  <c r="EV10" i="31"/>
  <c r="EV11" i="31"/>
  <c r="EV12" i="31"/>
  <c r="EV13" i="31"/>
  <c r="EV14" i="31"/>
  <c r="EV15" i="31"/>
  <c r="EV16" i="31"/>
  <c r="EV17" i="31"/>
  <c r="EV18" i="31"/>
  <c r="EV19" i="31"/>
  <c r="EV20" i="31"/>
  <c r="EV21" i="31"/>
  <c r="EV22" i="31"/>
  <c r="EV23" i="31"/>
  <c r="EV24" i="31"/>
  <c r="EV25" i="31"/>
  <c r="EV26" i="31"/>
  <c r="EV27" i="31"/>
  <c r="EV28" i="31"/>
  <c r="EV29" i="31"/>
  <c r="EV30" i="31"/>
  <c r="EV31" i="31"/>
  <c r="EV32" i="31"/>
  <c r="EV33" i="31"/>
  <c r="EV8" i="31"/>
  <c r="CN12" i="31" l="1"/>
  <c r="CO12" i="31"/>
  <c r="CP12" i="31"/>
  <c r="CQ12" i="31"/>
  <c r="CR12" i="31"/>
  <c r="CN13" i="31"/>
  <c r="CO13" i="31"/>
  <c r="CP13" i="31"/>
  <c r="CQ13" i="31"/>
  <c r="CR13" i="31"/>
  <c r="CN14" i="31"/>
  <c r="CO14" i="31"/>
  <c r="CP14" i="31"/>
  <c r="CQ14" i="31"/>
  <c r="CR14" i="31"/>
  <c r="CN15" i="31"/>
  <c r="CO15" i="31"/>
  <c r="CP15" i="31"/>
  <c r="CQ15" i="31"/>
  <c r="CR15" i="31"/>
  <c r="CN16" i="31"/>
  <c r="CO16" i="31"/>
  <c r="CP16" i="31"/>
  <c r="CQ16" i="31"/>
  <c r="CR16" i="31"/>
  <c r="CN17" i="31"/>
  <c r="CO17" i="31"/>
  <c r="CP17" i="31"/>
  <c r="CQ17" i="31"/>
  <c r="CR17" i="31"/>
  <c r="CN18" i="31"/>
  <c r="CO18" i="31"/>
  <c r="CP18" i="31"/>
  <c r="CQ18" i="31"/>
  <c r="CR18" i="31"/>
  <c r="CN19" i="31"/>
  <c r="CO19" i="31"/>
  <c r="CP19" i="31"/>
  <c r="CQ19" i="31"/>
  <c r="CR19" i="31"/>
  <c r="CN20" i="31"/>
  <c r="CO20" i="31"/>
  <c r="CP20" i="31"/>
  <c r="CQ20" i="31"/>
  <c r="CR20" i="31"/>
  <c r="CN21" i="31"/>
  <c r="CO21" i="31"/>
  <c r="CP21" i="31"/>
  <c r="CQ21" i="31"/>
  <c r="CR21" i="31"/>
  <c r="CN22" i="31"/>
  <c r="CO22" i="31"/>
  <c r="CP22" i="31"/>
  <c r="CQ22" i="31"/>
  <c r="CR22" i="31"/>
  <c r="CN23" i="31"/>
  <c r="CO23" i="31"/>
  <c r="CP23" i="31"/>
  <c r="CQ23" i="31"/>
  <c r="CR23" i="31"/>
  <c r="CN24" i="31"/>
  <c r="CO24" i="31"/>
  <c r="CP24" i="31"/>
  <c r="CQ24" i="31"/>
  <c r="CR24" i="31"/>
  <c r="CN25" i="31"/>
  <c r="CO25" i="31"/>
  <c r="CP25" i="31"/>
  <c r="CQ25" i="31"/>
  <c r="CR25" i="31"/>
  <c r="CN26" i="31"/>
  <c r="CO26" i="31"/>
  <c r="CP26" i="31"/>
  <c r="CQ26" i="31"/>
  <c r="CR26" i="31"/>
  <c r="CN27" i="31"/>
  <c r="CO27" i="31"/>
  <c r="CP27" i="31"/>
  <c r="CQ27" i="31"/>
  <c r="CR27" i="31"/>
  <c r="CN28" i="31"/>
  <c r="CO28" i="31"/>
  <c r="CP28" i="31"/>
  <c r="CQ28" i="31"/>
  <c r="CR28" i="31"/>
  <c r="CN29" i="31"/>
  <c r="CO29" i="31"/>
  <c r="CP29" i="31"/>
  <c r="CQ29" i="31"/>
  <c r="CR29" i="31"/>
  <c r="CN30" i="31"/>
  <c r="CO30" i="31"/>
  <c r="CP30" i="31"/>
  <c r="CQ30" i="31"/>
  <c r="CR30" i="31"/>
  <c r="CN31" i="31"/>
  <c r="CO31" i="31"/>
  <c r="CP31" i="31"/>
  <c r="CQ31" i="31"/>
  <c r="CR31" i="31"/>
  <c r="CN32" i="31"/>
  <c r="CO32" i="31"/>
  <c r="CP32" i="31"/>
  <c r="CQ32" i="31"/>
  <c r="CR32" i="31"/>
  <c r="CN33" i="31"/>
  <c r="CO33" i="31"/>
  <c r="CP33" i="31"/>
  <c r="CQ33" i="31"/>
  <c r="CR33" i="31"/>
  <c r="CN34" i="31"/>
  <c r="CO34" i="31"/>
  <c r="CP34" i="31"/>
  <c r="CQ34" i="31"/>
  <c r="CR34" i="31"/>
  <c r="CN35" i="31"/>
  <c r="CO35" i="31"/>
  <c r="CP35" i="31"/>
  <c r="CQ35" i="31"/>
  <c r="CR35" i="31"/>
  <c r="CN36" i="31"/>
  <c r="CO36" i="31"/>
  <c r="CP36" i="31"/>
  <c r="CQ36" i="31"/>
  <c r="CR36" i="31"/>
  <c r="CN37" i="31"/>
  <c r="CO37" i="31"/>
  <c r="CP37" i="31"/>
  <c r="CQ37" i="31"/>
  <c r="CR37" i="31"/>
  <c r="CN38" i="31"/>
  <c r="CO38" i="31"/>
  <c r="CP38" i="31"/>
  <c r="CQ38" i="31"/>
  <c r="CR38" i="31"/>
  <c r="CN39" i="31"/>
  <c r="CO39" i="31"/>
  <c r="CP39" i="31"/>
  <c r="CQ39" i="31"/>
  <c r="CR39" i="31"/>
  <c r="CN40" i="31"/>
  <c r="CO40" i="31"/>
  <c r="CP40" i="31"/>
  <c r="CQ40" i="31"/>
  <c r="CR40" i="31"/>
  <c r="CN41" i="31"/>
  <c r="CO41" i="31"/>
  <c r="CP41" i="31"/>
  <c r="CQ41" i="31"/>
  <c r="CR41" i="31"/>
  <c r="CN42" i="31"/>
  <c r="CO42" i="31"/>
  <c r="CP42" i="31"/>
  <c r="CQ42" i="31"/>
  <c r="CR42" i="31"/>
  <c r="CN43" i="31"/>
  <c r="CO43" i="31"/>
  <c r="CP43" i="31"/>
  <c r="CQ43" i="31"/>
  <c r="CR43" i="31"/>
  <c r="CN44" i="31"/>
  <c r="CO44" i="31"/>
  <c r="CP44" i="31"/>
  <c r="CQ44" i="31"/>
  <c r="CR44" i="31"/>
  <c r="CN45" i="31"/>
  <c r="CO45" i="31"/>
  <c r="CP45" i="31"/>
  <c r="CQ45" i="31"/>
  <c r="CR45" i="31"/>
  <c r="CN46" i="31"/>
  <c r="CO46" i="31"/>
  <c r="CP46" i="31"/>
  <c r="CQ46" i="31"/>
  <c r="CR46" i="31"/>
  <c r="CN47" i="31"/>
  <c r="CO47" i="31"/>
  <c r="CP47" i="31"/>
  <c r="CQ47" i="31"/>
  <c r="CR47" i="31"/>
  <c r="CN48" i="31"/>
  <c r="CO48" i="31"/>
  <c r="CP48" i="31"/>
  <c r="CQ48" i="31"/>
  <c r="CR48" i="31"/>
  <c r="CN49" i="31"/>
  <c r="CO49" i="31"/>
  <c r="CP49" i="31"/>
  <c r="CQ49" i="31"/>
  <c r="CR49" i="31"/>
  <c r="CN50" i="31"/>
  <c r="CO50" i="31"/>
  <c r="CP50" i="31"/>
  <c r="CQ50" i="31"/>
  <c r="CR50" i="31"/>
  <c r="CN51" i="31"/>
  <c r="CO51" i="31"/>
  <c r="CP51" i="31"/>
  <c r="CQ51" i="31"/>
  <c r="CR51" i="31"/>
  <c r="CN52" i="31"/>
  <c r="CO52" i="31"/>
  <c r="CP52" i="31"/>
  <c r="CQ52" i="31"/>
  <c r="CR52" i="31"/>
  <c r="CN53" i="31"/>
  <c r="CO53" i="31"/>
  <c r="CP53" i="31"/>
  <c r="CQ53" i="31"/>
  <c r="CR53" i="31"/>
  <c r="CN54" i="31"/>
  <c r="CO54" i="31"/>
  <c r="CP54" i="31"/>
  <c r="CQ54" i="31"/>
  <c r="CR54" i="31"/>
  <c r="CN55" i="31"/>
  <c r="CO55" i="31"/>
  <c r="CP55" i="31"/>
  <c r="CQ55" i="31"/>
  <c r="CR55" i="31"/>
  <c r="CN56" i="31"/>
  <c r="CO56" i="31"/>
  <c r="CP56" i="31"/>
  <c r="CQ56" i="31"/>
  <c r="CR56" i="31"/>
  <c r="CN57" i="31"/>
  <c r="CO57" i="31"/>
  <c r="CP57" i="31"/>
  <c r="CQ57" i="31"/>
  <c r="CR57" i="31"/>
  <c r="CN58" i="31"/>
  <c r="CO58" i="31"/>
  <c r="CP58" i="31"/>
  <c r="CQ58" i="31"/>
  <c r="CR58" i="31"/>
  <c r="CN59" i="31"/>
  <c r="CO59" i="31"/>
  <c r="CP59" i="31"/>
  <c r="CQ59" i="31"/>
  <c r="CR59" i="31"/>
  <c r="CN60" i="31"/>
  <c r="CO60" i="31"/>
  <c r="CP60" i="31"/>
  <c r="CQ60" i="31"/>
  <c r="CR60" i="31"/>
  <c r="CN61" i="31"/>
  <c r="CO61" i="31"/>
  <c r="CP61" i="31"/>
  <c r="CQ61" i="31"/>
  <c r="CR61" i="31"/>
  <c r="CN62" i="31"/>
  <c r="CO62" i="31"/>
  <c r="CP62" i="31"/>
  <c r="CQ62" i="31"/>
  <c r="CR62" i="31"/>
  <c r="CN63" i="31"/>
  <c r="CO63" i="31"/>
  <c r="CP63" i="31"/>
  <c r="CQ63" i="31"/>
  <c r="CR63" i="31"/>
  <c r="CN64" i="31"/>
  <c r="CO64" i="31"/>
  <c r="CP64" i="31"/>
  <c r="CQ64" i="31"/>
  <c r="CR64" i="31"/>
  <c r="CN65" i="31"/>
  <c r="CO65" i="31"/>
  <c r="CP65" i="31"/>
  <c r="CQ65" i="31"/>
  <c r="CR65" i="31"/>
  <c r="CN66" i="31"/>
  <c r="CO66" i="31"/>
  <c r="CP66" i="31"/>
  <c r="CQ66" i="31"/>
  <c r="CR66" i="31"/>
  <c r="CN67" i="31"/>
  <c r="CO67" i="31"/>
  <c r="CP67" i="31"/>
  <c r="CQ67" i="31"/>
  <c r="CR67" i="31"/>
  <c r="CN68" i="31"/>
  <c r="CO68" i="31"/>
  <c r="CP68" i="31"/>
  <c r="CQ68" i="31"/>
  <c r="CR68" i="31"/>
  <c r="CN69" i="31"/>
  <c r="CO69" i="31"/>
  <c r="CP69" i="31"/>
  <c r="CQ69" i="31"/>
  <c r="CR69" i="31"/>
  <c r="CN70" i="31"/>
  <c r="CO70" i="31"/>
  <c r="CP70" i="31"/>
  <c r="CQ70" i="31"/>
  <c r="CR70" i="31"/>
  <c r="CN71" i="31"/>
  <c r="CO71" i="31"/>
  <c r="CP71" i="31"/>
  <c r="CQ71" i="31"/>
  <c r="CR71" i="31"/>
  <c r="CN72" i="31"/>
  <c r="CO72" i="31"/>
  <c r="CP72" i="31"/>
  <c r="CQ72" i="31"/>
  <c r="CR72" i="31"/>
  <c r="CN73" i="31"/>
  <c r="CO73" i="31"/>
  <c r="CP73" i="31"/>
  <c r="CQ73" i="31"/>
  <c r="CR73" i="31"/>
  <c r="CN74" i="31"/>
  <c r="CO74" i="31"/>
  <c r="CP74" i="31"/>
  <c r="CQ74" i="31"/>
  <c r="CR74" i="31"/>
  <c r="CN75" i="31"/>
  <c r="CO75" i="31"/>
  <c r="CP75" i="31"/>
  <c r="CQ75" i="31"/>
  <c r="CR75" i="31"/>
  <c r="CR11" i="31"/>
  <c r="CQ11" i="31"/>
  <c r="CP11" i="31"/>
  <c r="CO11" i="31"/>
  <c r="CN11" i="31"/>
  <c r="CN4" i="31"/>
  <c r="BZ81" i="31"/>
  <c r="CA81" i="31"/>
  <c r="CB81" i="31"/>
  <c r="CC81" i="31"/>
  <c r="CD81" i="31"/>
  <c r="BZ82" i="31"/>
  <c r="CA82" i="31"/>
  <c r="CB82" i="31"/>
  <c r="CC82" i="31"/>
  <c r="CD82" i="31"/>
  <c r="BZ83" i="31"/>
  <c r="CA83" i="31"/>
  <c r="CB83" i="31"/>
  <c r="CC83" i="31"/>
  <c r="CD83" i="31"/>
  <c r="BZ84" i="31"/>
  <c r="CA84" i="31"/>
  <c r="CB84" i="31"/>
  <c r="CC84" i="31"/>
  <c r="CD84" i="31"/>
  <c r="BZ85" i="31"/>
  <c r="CA85" i="31"/>
  <c r="CB85" i="31"/>
  <c r="CC85" i="31"/>
  <c r="CD85" i="31"/>
  <c r="BZ86" i="31"/>
  <c r="CA86" i="31"/>
  <c r="CB86" i="31"/>
  <c r="CC86" i="31"/>
  <c r="CD86" i="31"/>
  <c r="BZ87" i="31"/>
  <c r="CA87" i="31"/>
  <c r="CB87" i="31"/>
  <c r="CC87" i="31"/>
  <c r="CD87" i="31"/>
  <c r="BZ88" i="31"/>
  <c r="CA88" i="31"/>
  <c r="CB88" i="31"/>
  <c r="CC88" i="31"/>
  <c r="CD88" i="31"/>
  <c r="BZ89" i="31"/>
  <c r="CA89" i="31"/>
  <c r="CB89" i="31"/>
  <c r="CC89" i="31"/>
  <c r="CD89" i="31"/>
  <c r="BZ90" i="31"/>
  <c r="CA90" i="31"/>
  <c r="CB90" i="31"/>
  <c r="CC90" i="31"/>
  <c r="CD90" i="31"/>
  <c r="BZ91" i="31"/>
  <c r="CA91" i="31"/>
  <c r="CB91" i="31"/>
  <c r="CC91" i="31"/>
  <c r="CD91" i="31"/>
  <c r="BZ92" i="31"/>
  <c r="CA92" i="31"/>
  <c r="CB92" i="31"/>
  <c r="CC92" i="31"/>
  <c r="CD92" i="31"/>
  <c r="BZ93" i="31"/>
  <c r="CA93" i="31"/>
  <c r="CB93" i="31"/>
  <c r="CC93" i="31"/>
  <c r="CD93" i="31"/>
  <c r="BZ94" i="31"/>
  <c r="CA94" i="31"/>
  <c r="CB94" i="31"/>
  <c r="CC94" i="31"/>
  <c r="CD94" i="31"/>
  <c r="BZ95" i="31"/>
  <c r="CA95" i="31"/>
  <c r="CB95" i="31"/>
  <c r="CC95" i="31"/>
  <c r="CD95" i="31"/>
  <c r="BZ96" i="31"/>
  <c r="CA96" i="31"/>
  <c r="CB96" i="31"/>
  <c r="CC96" i="31"/>
  <c r="CD96" i="31"/>
  <c r="BZ97" i="31"/>
  <c r="CA97" i="31"/>
  <c r="CB97" i="31"/>
  <c r="CC97" i="31"/>
  <c r="CD97" i="31"/>
  <c r="BZ98" i="31"/>
  <c r="CA98" i="31"/>
  <c r="CB98" i="31"/>
  <c r="CC98" i="31"/>
  <c r="CD98" i="31"/>
  <c r="BZ99" i="31"/>
  <c r="CA99" i="31"/>
  <c r="CB99" i="31"/>
  <c r="CC99" i="31"/>
  <c r="CD99" i="31"/>
  <c r="BZ100" i="31"/>
  <c r="CA100" i="31"/>
  <c r="CB100" i="31"/>
  <c r="CC100" i="31"/>
  <c r="CD100" i="31"/>
  <c r="BZ38" i="31"/>
  <c r="CA38" i="31"/>
  <c r="CB38" i="31"/>
  <c r="CC38" i="31"/>
  <c r="CD38" i="31"/>
  <c r="BZ39" i="31"/>
  <c r="CA39" i="31"/>
  <c r="CB39" i="31"/>
  <c r="CC39" i="31"/>
  <c r="CD39" i="31"/>
  <c r="BZ40" i="31"/>
  <c r="CA40" i="31"/>
  <c r="CB40" i="31"/>
  <c r="CC40" i="31"/>
  <c r="CD40" i="31"/>
  <c r="BZ41" i="31"/>
  <c r="CA41" i="31"/>
  <c r="CB41" i="31"/>
  <c r="CC41" i="31"/>
  <c r="CD41" i="31"/>
  <c r="BZ42" i="31"/>
  <c r="CA42" i="31"/>
  <c r="CB42" i="31"/>
  <c r="CC42" i="31"/>
  <c r="CD42" i="31"/>
  <c r="BZ43" i="31"/>
  <c r="CA43" i="31"/>
  <c r="CB43" i="31"/>
  <c r="CC43" i="31"/>
  <c r="CD43" i="31"/>
  <c r="BZ44" i="31"/>
  <c r="CA44" i="31"/>
  <c r="CB44" i="31"/>
  <c r="CC44" i="31"/>
  <c r="CD44" i="31"/>
  <c r="BZ45" i="31"/>
  <c r="CA45" i="31"/>
  <c r="CB45" i="31"/>
  <c r="CC45" i="31"/>
  <c r="CD45" i="31"/>
  <c r="BZ46" i="31"/>
  <c r="CA46" i="31"/>
  <c r="CB46" i="31"/>
  <c r="CC46" i="31"/>
  <c r="CD46" i="31"/>
  <c r="BZ47" i="31"/>
  <c r="CA47" i="31"/>
  <c r="CB47" i="31"/>
  <c r="CC47" i="31"/>
  <c r="CD47" i="31"/>
  <c r="BZ48" i="31"/>
  <c r="CA48" i="31"/>
  <c r="CB48" i="31"/>
  <c r="CC48" i="31"/>
  <c r="CD48" i="31"/>
  <c r="BZ49" i="31"/>
  <c r="CA49" i="31"/>
  <c r="CB49" i="31"/>
  <c r="CC49" i="31"/>
  <c r="CD49" i="31"/>
  <c r="BZ50" i="31"/>
  <c r="CA50" i="31"/>
  <c r="CB50" i="31"/>
  <c r="CC50" i="31"/>
  <c r="CD50" i="31"/>
  <c r="BZ51" i="31"/>
  <c r="CA51" i="31"/>
  <c r="CB51" i="31"/>
  <c r="CC51" i="31"/>
  <c r="CD51" i="31"/>
  <c r="BZ52" i="31"/>
  <c r="CA52" i="31"/>
  <c r="CB52" i="31"/>
  <c r="CC52" i="31"/>
  <c r="CD52" i="31"/>
  <c r="BZ53" i="31"/>
  <c r="CA53" i="31"/>
  <c r="CB53" i="31"/>
  <c r="CC53" i="31"/>
  <c r="CD53" i="31"/>
  <c r="BZ54" i="31"/>
  <c r="CA54" i="31"/>
  <c r="CB54" i="31"/>
  <c r="CC54" i="31"/>
  <c r="CD54" i="31"/>
  <c r="BZ55" i="31"/>
  <c r="CA55" i="31"/>
  <c r="CB55" i="31"/>
  <c r="CC55" i="31"/>
  <c r="CD55" i="31"/>
  <c r="BZ56" i="31"/>
  <c r="CA56" i="31"/>
  <c r="CB56" i="31"/>
  <c r="CC56" i="31"/>
  <c r="CD56" i="31"/>
  <c r="BZ57" i="31"/>
  <c r="CA57" i="31"/>
  <c r="CB57" i="31"/>
  <c r="CC57" i="31"/>
  <c r="CD57" i="31"/>
  <c r="BZ58" i="31"/>
  <c r="CA58" i="31"/>
  <c r="CB58" i="31"/>
  <c r="CC58" i="31"/>
  <c r="CD58" i="31"/>
  <c r="BZ59" i="31"/>
  <c r="CA59" i="31"/>
  <c r="CB59" i="31"/>
  <c r="CC59" i="31"/>
  <c r="CD59" i="31"/>
  <c r="BZ60" i="31"/>
  <c r="CA60" i="31"/>
  <c r="CB60" i="31"/>
  <c r="CC60" i="31"/>
  <c r="CD60" i="31"/>
  <c r="BZ61" i="31"/>
  <c r="CA61" i="31"/>
  <c r="CB61" i="31"/>
  <c r="CC61" i="31"/>
  <c r="CD61" i="31"/>
  <c r="BZ62" i="31"/>
  <c r="CA62" i="31"/>
  <c r="CB62" i="31"/>
  <c r="CC62" i="31"/>
  <c r="CD62" i="31"/>
  <c r="BZ63" i="31"/>
  <c r="CA63" i="31"/>
  <c r="CB63" i="31"/>
  <c r="CC63" i="31"/>
  <c r="CD63" i="31"/>
  <c r="BZ64" i="31"/>
  <c r="CA64" i="31"/>
  <c r="CB64" i="31"/>
  <c r="CC64" i="31"/>
  <c r="CD64" i="31"/>
  <c r="BZ65" i="31"/>
  <c r="CA65" i="31"/>
  <c r="CB65" i="31"/>
  <c r="CC65" i="31"/>
  <c r="CD65" i="31"/>
  <c r="BZ66" i="31"/>
  <c r="CA66" i="31"/>
  <c r="CB66" i="31"/>
  <c r="CC66" i="31"/>
  <c r="CD66" i="31"/>
  <c r="BZ67" i="31"/>
  <c r="CA67" i="31"/>
  <c r="CB67" i="31"/>
  <c r="CC67" i="31"/>
  <c r="CD67" i="31"/>
  <c r="BZ68" i="31"/>
  <c r="CA68" i="31"/>
  <c r="CB68" i="31"/>
  <c r="CC68" i="31"/>
  <c r="CD68" i="31"/>
  <c r="BZ69" i="31"/>
  <c r="CA69" i="31"/>
  <c r="CB69" i="31"/>
  <c r="CC69" i="31"/>
  <c r="CD69" i="31"/>
  <c r="BZ70" i="31"/>
  <c r="CA70" i="31"/>
  <c r="CB70" i="31"/>
  <c r="CC70" i="31"/>
  <c r="CD70" i="31"/>
  <c r="BZ71" i="31"/>
  <c r="CA71" i="31"/>
  <c r="CB71" i="31"/>
  <c r="CC71" i="31"/>
  <c r="CD71" i="31"/>
  <c r="BZ72" i="31"/>
  <c r="CA72" i="31"/>
  <c r="CB72" i="31"/>
  <c r="CC72" i="31"/>
  <c r="CD72" i="31"/>
  <c r="BZ73" i="31"/>
  <c r="CA73" i="31"/>
  <c r="CB73" i="31"/>
  <c r="CC73" i="31"/>
  <c r="CD73" i="31"/>
  <c r="BZ74" i="31"/>
  <c r="CA74" i="31"/>
  <c r="CB74" i="31"/>
  <c r="CC74" i="31"/>
  <c r="CD74" i="31"/>
  <c r="BZ75" i="31"/>
  <c r="CA75" i="31"/>
  <c r="CB75" i="31"/>
  <c r="CC75" i="31"/>
  <c r="CD75" i="31"/>
  <c r="BZ76" i="31"/>
  <c r="CA76" i="31"/>
  <c r="CB76" i="31"/>
  <c r="CC76" i="31"/>
  <c r="CD76" i="31"/>
  <c r="BZ77" i="31"/>
  <c r="CA77" i="31"/>
  <c r="CB77" i="31"/>
  <c r="CC77" i="31"/>
  <c r="CD77" i="31"/>
  <c r="BZ78" i="31"/>
  <c r="CA78" i="31"/>
  <c r="CB78" i="31"/>
  <c r="CC78" i="31"/>
  <c r="CD78" i="31"/>
  <c r="BZ79" i="31"/>
  <c r="CA79" i="31"/>
  <c r="CB79" i="31"/>
  <c r="CC79" i="31"/>
  <c r="CD79" i="31"/>
  <c r="BZ80" i="31"/>
  <c r="CA80" i="31"/>
  <c r="CB80" i="31"/>
  <c r="CC80" i="31"/>
  <c r="CD80" i="31"/>
  <c r="BZ12" i="31"/>
  <c r="CA12" i="31"/>
  <c r="CB12" i="31"/>
  <c r="CC12" i="31"/>
  <c r="CD12" i="31"/>
  <c r="BZ13" i="31"/>
  <c r="CA13" i="31"/>
  <c r="CB13" i="31"/>
  <c r="CC13" i="31"/>
  <c r="CD13" i="31"/>
  <c r="BZ14" i="31"/>
  <c r="CA14" i="31"/>
  <c r="CB14" i="31"/>
  <c r="CC14" i="31"/>
  <c r="CD14" i="31"/>
  <c r="BZ15" i="31"/>
  <c r="CA15" i="31"/>
  <c r="CB15" i="31"/>
  <c r="CC15" i="31"/>
  <c r="CD15" i="31"/>
  <c r="BZ16" i="31"/>
  <c r="CA16" i="31"/>
  <c r="CB16" i="31"/>
  <c r="CC16" i="31"/>
  <c r="CD16" i="31"/>
  <c r="BZ17" i="31"/>
  <c r="CA17" i="31"/>
  <c r="CB17" i="31"/>
  <c r="CC17" i="31"/>
  <c r="CD17" i="31"/>
  <c r="BZ18" i="31"/>
  <c r="CA18" i="31"/>
  <c r="CB18" i="31"/>
  <c r="CC18" i="31"/>
  <c r="CD18" i="31"/>
  <c r="BZ19" i="31"/>
  <c r="CA19" i="31"/>
  <c r="CB19" i="31"/>
  <c r="CC19" i="31"/>
  <c r="CD19" i="31"/>
  <c r="BZ20" i="31"/>
  <c r="CA20" i="31"/>
  <c r="CB20" i="31"/>
  <c r="CC20" i="31"/>
  <c r="CD20" i="31"/>
  <c r="BZ21" i="31"/>
  <c r="CA21" i="31"/>
  <c r="CB21" i="31"/>
  <c r="CC21" i="31"/>
  <c r="CD21" i="31"/>
  <c r="BZ22" i="31"/>
  <c r="CA22" i="31"/>
  <c r="CB22" i="31"/>
  <c r="CC22" i="31"/>
  <c r="CD22" i="31"/>
  <c r="BZ23" i="31"/>
  <c r="CA23" i="31"/>
  <c r="CB23" i="31"/>
  <c r="CC23" i="31"/>
  <c r="CD23" i="31"/>
  <c r="BZ24" i="31"/>
  <c r="CA24" i="31"/>
  <c r="CB24" i="31"/>
  <c r="CC24" i="31"/>
  <c r="CD24" i="31"/>
  <c r="BZ25" i="31"/>
  <c r="CA25" i="31"/>
  <c r="CB25" i="31"/>
  <c r="CC25" i="31"/>
  <c r="CD25" i="31"/>
  <c r="BZ26" i="31"/>
  <c r="CA26" i="31"/>
  <c r="CB26" i="31"/>
  <c r="CC26" i="31"/>
  <c r="CD26" i="31"/>
  <c r="BZ27" i="31"/>
  <c r="CA27" i="31"/>
  <c r="CB27" i="31"/>
  <c r="CC27" i="31"/>
  <c r="CD27" i="31"/>
  <c r="BZ28" i="31"/>
  <c r="CA28" i="31"/>
  <c r="CB28" i="31"/>
  <c r="CC28" i="31"/>
  <c r="CD28" i="31"/>
  <c r="BZ29" i="31"/>
  <c r="CA29" i="31"/>
  <c r="CB29" i="31"/>
  <c r="CC29" i="31"/>
  <c r="CD29" i="31"/>
  <c r="BZ30" i="31"/>
  <c r="CA30" i="31"/>
  <c r="CB30" i="31"/>
  <c r="CC30" i="31"/>
  <c r="CD30" i="31"/>
  <c r="BZ31" i="31"/>
  <c r="CA31" i="31"/>
  <c r="CB31" i="31"/>
  <c r="CC31" i="31"/>
  <c r="CD31" i="31"/>
  <c r="BZ32" i="31"/>
  <c r="CA32" i="31"/>
  <c r="CB32" i="31"/>
  <c r="CC32" i="31"/>
  <c r="CD32" i="31"/>
  <c r="BZ33" i="31"/>
  <c r="CA33" i="31"/>
  <c r="CB33" i="31"/>
  <c r="CC33" i="31"/>
  <c r="CD33" i="31"/>
  <c r="BZ34" i="31"/>
  <c r="CA34" i="31"/>
  <c r="CB34" i="31"/>
  <c r="CC34" i="31"/>
  <c r="CD34" i="31"/>
  <c r="BZ35" i="31"/>
  <c r="CA35" i="31"/>
  <c r="CB35" i="31"/>
  <c r="CC35" i="31"/>
  <c r="CD35" i="31"/>
  <c r="BZ36" i="31"/>
  <c r="CA36" i="31"/>
  <c r="CB36" i="31"/>
  <c r="CC36" i="31"/>
  <c r="CD36" i="31"/>
  <c r="BZ37" i="31"/>
  <c r="CA37" i="31"/>
  <c r="CB37" i="31"/>
  <c r="CC37" i="31"/>
  <c r="CD37" i="31"/>
  <c r="CA11" i="31"/>
  <c r="BZ11" i="31"/>
  <c r="CD11" i="31"/>
  <c r="CC11" i="31"/>
  <c r="CB11" i="31"/>
  <c r="BZ4" i="31" l="1"/>
  <c r="BL10" i="31" l="1"/>
  <c r="BK10" i="31"/>
  <c r="BJ10" i="31"/>
  <c r="BI10" i="31"/>
  <c r="BH10" i="31"/>
  <c r="BH58" i="31" l="1"/>
  <c r="BI58" i="31"/>
  <c r="BJ58" i="31"/>
  <c r="BK58" i="31"/>
  <c r="BL58" i="31"/>
  <c r="BH59" i="31"/>
  <c r="BI59" i="31"/>
  <c r="BJ59" i="31"/>
  <c r="BK59" i="31"/>
  <c r="BL59" i="31"/>
  <c r="BH60" i="31"/>
  <c r="BI60" i="31"/>
  <c r="BJ60" i="31"/>
  <c r="BK60" i="31"/>
  <c r="BL60" i="31"/>
  <c r="BH61" i="31"/>
  <c r="BI61" i="31"/>
  <c r="BJ61" i="31"/>
  <c r="BK61" i="31"/>
  <c r="BL61" i="31"/>
  <c r="BH46" i="31"/>
  <c r="BI46" i="31"/>
  <c r="BJ46" i="31"/>
  <c r="BK46" i="31"/>
  <c r="BL46" i="31"/>
  <c r="BH47" i="31"/>
  <c r="BI47" i="31"/>
  <c r="BJ47" i="31"/>
  <c r="BK47" i="31"/>
  <c r="BL47" i="31"/>
  <c r="BH48" i="31"/>
  <c r="BI48" i="31"/>
  <c r="BJ48" i="31"/>
  <c r="BK48" i="31"/>
  <c r="BL48" i="31"/>
  <c r="BH49" i="31"/>
  <c r="BI49" i="31"/>
  <c r="BJ49" i="31"/>
  <c r="BK49" i="31"/>
  <c r="BL49" i="31"/>
  <c r="BH50" i="31"/>
  <c r="BI50" i="31"/>
  <c r="BJ50" i="31"/>
  <c r="BK50" i="31"/>
  <c r="BL50" i="31"/>
  <c r="BH51" i="31"/>
  <c r="BI51" i="31"/>
  <c r="BJ51" i="31"/>
  <c r="BK51" i="31"/>
  <c r="BL51" i="31"/>
  <c r="BH52" i="31"/>
  <c r="BI52" i="31"/>
  <c r="BJ52" i="31"/>
  <c r="BK52" i="31"/>
  <c r="BL52" i="31"/>
  <c r="BH53" i="31"/>
  <c r="BI53" i="31"/>
  <c r="BJ53" i="31"/>
  <c r="BK53" i="31"/>
  <c r="BL53" i="31"/>
  <c r="BH54" i="31"/>
  <c r="BI54" i="31"/>
  <c r="BJ54" i="31"/>
  <c r="BK54" i="31"/>
  <c r="BL54" i="31"/>
  <c r="BH55" i="31"/>
  <c r="BI55" i="31"/>
  <c r="BJ55" i="31"/>
  <c r="BK55" i="31"/>
  <c r="BL55" i="31"/>
  <c r="BH56" i="31"/>
  <c r="BI56" i="31"/>
  <c r="BJ56" i="31"/>
  <c r="BK56" i="31"/>
  <c r="BL56" i="31"/>
  <c r="BH57" i="31"/>
  <c r="BI57" i="31"/>
  <c r="BJ57" i="31"/>
  <c r="BK57" i="31"/>
  <c r="BL57" i="31"/>
  <c r="BH11" i="31"/>
  <c r="BI11" i="31"/>
  <c r="BJ11" i="31"/>
  <c r="BK11" i="31"/>
  <c r="BL11" i="31"/>
  <c r="BH12" i="31"/>
  <c r="BI12" i="31"/>
  <c r="BJ12" i="31"/>
  <c r="BK12" i="31"/>
  <c r="BL12" i="31"/>
  <c r="BH13" i="31"/>
  <c r="BI13" i="31"/>
  <c r="BJ13" i="31"/>
  <c r="BK13" i="31"/>
  <c r="BL13" i="31"/>
  <c r="BH14" i="31"/>
  <c r="BI14" i="31"/>
  <c r="BJ14" i="31"/>
  <c r="BK14" i="31"/>
  <c r="BL14" i="31"/>
  <c r="BH15" i="31"/>
  <c r="BI15" i="31"/>
  <c r="BJ15" i="31"/>
  <c r="BK15" i="31"/>
  <c r="BL15" i="31"/>
  <c r="BH16" i="31"/>
  <c r="BI16" i="31"/>
  <c r="BJ16" i="31"/>
  <c r="BK16" i="31"/>
  <c r="BL16" i="31"/>
  <c r="BH17" i="31"/>
  <c r="BI17" i="31"/>
  <c r="BJ17" i="31"/>
  <c r="BK17" i="31"/>
  <c r="BL17" i="31"/>
  <c r="BH18" i="31"/>
  <c r="BI18" i="31"/>
  <c r="BJ18" i="31"/>
  <c r="BK18" i="31"/>
  <c r="BL18" i="31"/>
  <c r="BH19" i="31"/>
  <c r="BI19" i="31"/>
  <c r="BJ19" i="31"/>
  <c r="BK19" i="31"/>
  <c r="BL19" i="31"/>
  <c r="BH20" i="31"/>
  <c r="BI20" i="31"/>
  <c r="BJ20" i="31"/>
  <c r="BK20" i="31"/>
  <c r="BL20" i="31"/>
  <c r="BH21" i="31"/>
  <c r="BI21" i="31"/>
  <c r="BJ21" i="31"/>
  <c r="BK21" i="31"/>
  <c r="BL21" i="31"/>
  <c r="BH22" i="31"/>
  <c r="BI22" i="31"/>
  <c r="BJ22" i="31"/>
  <c r="BK22" i="31"/>
  <c r="BL22" i="31"/>
  <c r="BH23" i="31"/>
  <c r="BI23" i="31"/>
  <c r="BJ23" i="31"/>
  <c r="BK23" i="31"/>
  <c r="BL23" i="31"/>
  <c r="BH24" i="31"/>
  <c r="BI24" i="31"/>
  <c r="BJ24" i="31"/>
  <c r="BK24" i="31"/>
  <c r="BL24" i="31"/>
  <c r="BH25" i="31"/>
  <c r="BI25" i="31"/>
  <c r="BJ25" i="31"/>
  <c r="BK25" i="31"/>
  <c r="BL25" i="31"/>
  <c r="BH26" i="31"/>
  <c r="BI26" i="31"/>
  <c r="BJ26" i="31"/>
  <c r="BK26" i="31"/>
  <c r="BL26" i="31"/>
  <c r="BH27" i="31"/>
  <c r="BI27" i="31"/>
  <c r="BJ27" i="31"/>
  <c r="BK27" i="31"/>
  <c r="BL27" i="31"/>
  <c r="BH28" i="31"/>
  <c r="BI28" i="31"/>
  <c r="BJ28" i="31"/>
  <c r="BK28" i="31"/>
  <c r="BL28" i="31"/>
  <c r="BH29" i="31"/>
  <c r="BI29" i="31"/>
  <c r="BJ29" i="31"/>
  <c r="BK29" i="31"/>
  <c r="BL29" i="31"/>
  <c r="BH30" i="31"/>
  <c r="BI30" i="31"/>
  <c r="BJ30" i="31"/>
  <c r="BK30" i="31"/>
  <c r="BL30" i="31"/>
  <c r="BH31" i="31"/>
  <c r="BI31" i="31"/>
  <c r="BJ31" i="31"/>
  <c r="BK31" i="31"/>
  <c r="BL31" i="31"/>
  <c r="BH32" i="31"/>
  <c r="BI32" i="31"/>
  <c r="BJ32" i="31"/>
  <c r="BK32" i="31"/>
  <c r="BL32" i="31"/>
  <c r="BH33" i="31"/>
  <c r="BI33" i="31"/>
  <c r="BJ33" i="31"/>
  <c r="BK33" i="31"/>
  <c r="BL33" i="31"/>
  <c r="BH34" i="31"/>
  <c r="BI34" i="31"/>
  <c r="BJ34" i="31"/>
  <c r="BK34" i="31"/>
  <c r="BL34" i="31"/>
  <c r="BH35" i="31"/>
  <c r="BI35" i="31"/>
  <c r="BJ35" i="31"/>
  <c r="BK35" i="31"/>
  <c r="BL35" i="31"/>
  <c r="BH36" i="31"/>
  <c r="BI36" i="31"/>
  <c r="BJ36" i="31"/>
  <c r="BK36" i="31"/>
  <c r="BL36" i="31"/>
  <c r="BH37" i="31"/>
  <c r="BI37" i="31"/>
  <c r="BJ37" i="31"/>
  <c r="BK37" i="31"/>
  <c r="BL37" i="31"/>
  <c r="BH38" i="31"/>
  <c r="BI38" i="31"/>
  <c r="BJ38" i="31"/>
  <c r="BK38" i="31"/>
  <c r="BL38" i="31"/>
  <c r="BH39" i="31"/>
  <c r="BI39" i="31"/>
  <c r="BJ39" i="31"/>
  <c r="BK39" i="31"/>
  <c r="BL39" i="31"/>
  <c r="BH40" i="31"/>
  <c r="BI40" i="31"/>
  <c r="BJ40" i="31"/>
  <c r="BK40" i="31"/>
  <c r="BL40" i="31"/>
  <c r="BH41" i="31"/>
  <c r="BI41" i="31"/>
  <c r="BJ41" i="31"/>
  <c r="BK41" i="31"/>
  <c r="BL41" i="31"/>
  <c r="BH42" i="31"/>
  <c r="BI42" i="31"/>
  <c r="BJ42" i="31"/>
  <c r="BK42" i="31"/>
  <c r="BL42" i="31"/>
  <c r="BH43" i="31"/>
  <c r="BI43" i="31"/>
  <c r="BJ43" i="31"/>
  <c r="BK43" i="31"/>
  <c r="BL43" i="31"/>
  <c r="BH44" i="31"/>
  <c r="BI44" i="31"/>
  <c r="BJ44" i="31"/>
  <c r="BK44" i="31"/>
  <c r="BL44" i="31"/>
  <c r="BH45" i="31"/>
  <c r="BI45" i="31"/>
  <c r="BJ45" i="31"/>
  <c r="BK45" i="31"/>
  <c r="BL45" i="31"/>
  <c r="BH4" i="31"/>
  <c r="BK11" i="2" l="1"/>
  <c r="BL11" i="2"/>
  <c r="BM11" i="2"/>
  <c r="BN11" i="2"/>
  <c r="BO11" i="2"/>
  <c r="BK12" i="2"/>
  <c r="BL12" i="2"/>
  <c r="BM12" i="2"/>
  <c r="BN12" i="2"/>
  <c r="BO12" i="2"/>
  <c r="BK13" i="2"/>
  <c r="BL13" i="2"/>
  <c r="BM13" i="2"/>
  <c r="BN13" i="2"/>
  <c r="BO13" i="2"/>
  <c r="BK14" i="2"/>
  <c r="BL14" i="2"/>
  <c r="BM14" i="2"/>
  <c r="BN14" i="2"/>
  <c r="BO14" i="2"/>
  <c r="BK15" i="2"/>
  <c r="BL15" i="2"/>
  <c r="BM15" i="2"/>
  <c r="BN15" i="2"/>
  <c r="BO15" i="2"/>
  <c r="BK16" i="2"/>
  <c r="BL16" i="2"/>
  <c r="BM16" i="2"/>
  <c r="BN16" i="2"/>
  <c r="BO16" i="2"/>
  <c r="BK17" i="2"/>
  <c r="BL17" i="2"/>
  <c r="BM17" i="2"/>
  <c r="BN17" i="2"/>
  <c r="BO17" i="2"/>
  <c r="BK18" i="2"/>
  <c r="BL18" i="2"/>
  <c r="BM18" i="2"/>
  <c r="BN18" i="2"/>
  <c r="BO18" i="2"/>
  <c r="BK19" i="2"/>
  <c r="BL19" i="2"/>
  <c r="BM19" i="2"/>
  <c r="BN19" i="2"/>
  <c r="BO19" i="2"/>
  <c r="BK20" i="2"/>
  <c r="BL20" i="2"/>
  <c r="BM20" i="2"/>
  <c r="BN20" i="2"/>
  <c r="BO20" i="2"/>
  <c r="BK21" i="2"/>
  <c r="BL21" i="2"/>
  <c r="BM21" i="2"/>
  <c r="BN21" i="2"/>
  <c r="BO21" i="2"/>
  <c r="BK22" i="2"/>
  <c r="BL22" i="2"/>
  <c r="BM22" i="2"/>
  <c r="BN22" i="2"/>
  <c r="BO22" i="2"/>
  <c r="BK23" i="2"/>
  <c r="BL23" i="2"/>
  <c r="BM23" i="2"/>
  <c r="BN23" i="2"/>
  <c r="BO23" i="2"/>
  <c r="BK24" i="2"/>
  <c r="BL24" i="2"/>
  <c r="BM24" i="2"/>
  <c r="BN24" i="2"/>
  <c r="BO24" i="2"/>
  <c r="BK25" i="2"/>
  <c r="BL25" i="2"/>
  <c r="BM25" i="2"/>
  <c r="BN25" i="2"/>
  <c r="BO25" i="2"/>
  <c r="BK26" i="2"/>
  <c r="BL26" i="2"/>
  <c r="BM26" i="2"/>
  <c r="BN26" i="2"/>
  <c r="BO26" i="2"/>
  <c r="BK27" i="2"/>
  <c r="BL27" i="2"/>
  <c r="BM27" i="2"/>
  <c r="BN27" i="2"/>
  <c r="BO27" i="2"/>
  <c r="BK28" i="2"/>
  <c r="BL28" i="2"/>
  <c r="BM28" i="2"/>
  <c r="BN28" i="2"/>
  <c r="BO28" i="2"/>
  <c r="BK29" i="2"/>
  <c r="BL29" i="2"/>
  <c r="BM29" i="2"/>
  <c r="BN29" i="2"/>
  <c r="BO29" i="2"/>
  <c r="BK30" i="2"/>
  <c r="BL30" i="2"/>
  <c r="BM30" i="2"/>
  <c r="BN30" i="2"/>
  <c r="BO30" i="2"/>
  <c r="BK31" i="2"/>
  <c r="BL31" i="2"/>
  <c r="BM31" i="2"/>
  <c r="BN31" i="2"/>
  <c r="BO31" i="2"/>
  <c r="BK32" i="2"/>
  <c r="BL32" i="2"/>
  <c r="BM32" i="2"/>
  <c r="BN32" i="2"/>
  <c r="BO32" i="2"/>
  <c r="BK33" i="2"/>
  <c r="BL33" i="2"/>
  <c r="BM33" i="2"/>
  <c r="BN33" i="2"/>
  <c r="BO33" i="2"/>
  <c r="BK34" i="2"/>
  <c r="BL34" i="2"/>
  <c r="BM34" i="2"/>
  <c r="BN34" i="2"/>
  <c r="BO34" i="2"/>
  <c r="BK35" i="2"/>
  <c r="BL35" i="2"/>
  <c r="BM35" i="2"/>
  <c r="BN35" i="2"/>
  <c r="BO35" i="2"/>
  <c r="BK36" i="2"/>
  <c r="BL36" i="2"/>
  <c r="BM36" i="2"/>
  <c r="BN36" i="2"/>
  <c r="BO36" i="2"/>
  <c r="BK37" i="2"/>
  <c r="BL37" i="2"/>
  <c r="BM37" i="2"/>
  <c r="BN37" i="2"/>
  <c r="BO37" i="2"/>
  <c r="BK38" i="2"/>
  <c r="BL38" i="2"/>
  <c r="BM38" i="2"/>
  <c r="BN38" i="2"/>
  <c r="BO38" i="2"/>
  <c r="BK39" i="2"/>
  <c r="BL39" i="2"/>
  <c r="BM39" i="2"/>
  <c r="BN39" i="2"/>
  <c r="BO39" i="2"/>
  <c r="BK40" i="2"/>
  <c r="BL40" i="2"/>
  <c r="BM40" i="2"/>
  <c r="BN40" i="2"/>
  <c r="BO40" i="2"/>
  <c r="BK41" i="2"/>
  <c r="BL41" i="2"/>
  <c r="BM41" i="2"/>
  <c r="BN41" i="2"/>
  <c r="BO41" i="2"/>
  <c r="BK42" i="2"/>
  <c r="BL42" i="2"/>
  <c r="BM42" i="2"/>
  <c r="BN42" i="2"/>
  <c r="BO42" i="2"/>
  <c r="BK43" i="2"/>
  <c r="BL43" i="2"/>
  <c r="BM43" i="2"/>
  <c r="BN43" i="2"/>
  <c r="BO43" i="2"/>
  <c r="BK44" i="2"/>
  <c r="BL44" i="2"/>
  <c r="BM44" i="2"/>
  <c r="BN44" i="2"/>
  <c r="BO44" i="2"/>
  <c r="BK45" i="2"/>
  <c r="BL45" i="2"/>
  <c r="BM45" i="2"/>
  <c r="BN45" i="2"/>
  <c r="BO45" i="2"/>
  <c r="BK46" i="2"/>
  <c r="BL46" i="2"/>
  <c r="BM46" i="2"/>
  <c r="BN46" i="2"/>
  <c r="BO46" i="2"/>
  <c r="BK47" i="2"/>
  <c r="BL47" i="2"/>
  <c r="BM47" i="2"/>
  <c r="BN47" i="2"/>
  <c r="BO47" i="2"/>
  <c r="BK48" i="2"/>
  <c r="BL48" i="2"/>
  <c r="BM48" i="2"/>
  <c r="BN48" i="2"/>
  <c r="BO48" i="2"/>
  <c r="BK49" i="2"/>
  <c r="BL49" i="2"/>
  <c r="BM49" i="2"/>
  <c r="BN49" i="2"/>
  <c r="BO49" i="2"/>
  <c r="BK50" i="2"/>
  <c r="BL50" i="2"/>
  <c r="BM50" i="2"/>
  <c r="BN50" i="2"/>
  <c r="BO50" i="2"/>
  <c r="BK51" i="2"/>
  <c r="BL51" i="2"/>
  <c r="BM51" i="2"/>
  <c r="BN51" i="2"/>
  <c r="BO51" i="2"/>
  <c r="BK52" i="2"/>
  <c r="BL52" i="2"/>
  <c r="BM52" i="2"/>
  <c r="BN52" i="2"/>
  <c r="BO52" i="2"/>
  <c r="BK53" i="2"/>
  <c r="BL53" i="2"/>
  <c r="BM53" i="2"/>
  <c r="BN53" i="2"/>
  <c r="BO53" i="2"/>
  <c r="BK54" i="2"/>
  <c r="BL54" i="2"/>
  <c r="BM54" i="2"/>
  <c r="BN54" i="2"/>
  <c r="BO54" i="2"/>
  <c r="BK55" i="2"/>
  <c r="BL55" i="2"/>
  <c r="BM55" i="2"/>
  <c r="BN55" i="2"/>
  <c r="BO55" i="2"/>
  <c r="BK56" i="2"/>
  <c r="BL56" i="2"/>
  <c r="BM56" i="2"/>
  <c r="BN56" i="2"/>
  <c r="BO56" i="2"/>
  <c r="BK57" i="2"/>
  <c r="BL57" i="2"/>
  <c r="BM57" i="2"/>
  <c r="BN57" i="2"/>
  <c r="BO57" i="2"/>
  <c r="BK58" i="2"/>
  <c r="BL58" i="2"/>
  <c r="BM58" i="2"/>
  <c r="BN58" i="2"/>
  <c r="BO58" i="2"/>
  <c r="BK59" i="2"/>
  <c r="BL59" i="2"/>
  <c r="BM59" i="2"/>
  <c r="BN59" i="2"/>
  <c r="BO59" i="2"/>
  <c r="BK60" i="2"/>
  <c r="BL60" i="2"/>
  <c r="BM60" i="2"/>
  <c r="BN60" i="2"/>
  <c r="BO60" i="2"/>
  <c r="BK61" i="2"/>
  <c r="BL61" i="2"/>
  <c r="BM61" i="2"/>
  <c r="BN61" i="2"/>
  <c r="BO61" i="2"/>
  <c r="BK62" i="2"/>
  <c r="BL62" i="2"/>
  <c r="BM62" i="2"/>
  <c r="BN62" i="2"/>
  <c r="BO62" i="2"/>
  <c r="BK63" i="2"/>
  <c r="BL63" i="2"/>
  <c r="BM63" i="2"/>
  <c r="BN63" i="2"/>
  <c r="BO63" i="2"/>
  <c r="BK64" i="2"/>
  <c r="BL64" i="2"/>
  <c r="BM64" i="2"/>
  <c r="BN64" i="2"/>
  <c r="BO64" i="2"/>
  <c r="BK65" i="2"/>
  <c r="BL65" i="2"/>
  <c r="BM65" i="2"/>
  <c r="BN65" i="2"/>
  <c r="BO65" i="2"/>
  <c r="BK66" i="2"/>
  <c r="BL66" i="2"/>
  <c r="BM66" i="2"/>
  <c r="BN66" i="2"/>
  <c r="BO66" i="2"/>
  <c r="BK67" i="2"/>
  <c r="BL67" i="2"/>
  <c r="BM67" i="2"/>
  <c r="BN67" i="2"/>
  <c r="BO67" i="2"/>
  <c r="BK68" i="2"/>
  <c r="BL68" i="2"/>
  <c r="BM68" i="2"/>
  <c r="BN68" i="2"/>
  <c r="BO68" i="2"/>
  <c r="BK69" i="2"/>
  <c r="BL69" i="2"/>
  <c r="BM69" i="2"/>
  <c r="BN69" i="2"/>
  <c r="BO69" i="2"/>
  <c r="BK70" i="2"/>
  <c r="BL70" i="2"/>
  <c r="BM70" i="2"/>
  <c r="BN70" i="2"/>
  <c r="BO70" i="2"/>
  <c r="BK71" i="2"/>
  <c r="BL71" i="2"/>
  <c r="BM71" i="2"/>
  <c r="BN71" i="2"/>
  <c r="BO71" i="2"/>
  <c r="BK72" i="2"/>
  <c r="BL72" i="2"/>
  <c r="BM72" i="2"/>
  <c r="BN72" i="2"/>
  <c r="BO72" i="2"/>
  <c r="BK73" i="2"/>
  <c r="BL73" i="2"/>
  <c r="BM73" i="2"/>
  <c r="BN73" i="2"/>
  <c r="BO73" i="2"/>
  <c r="BK74" i="2"/>
  <c r="BL74" i="2"/>
  <c r="BM74" i="2"/>
  <c r="BN74" i="2"/>
  <c r="BO74" i="2"/>
  <c r="BK75" i="2"/>
  <c r="BL75" i="2"/>
  <c r="BM75" i="2"/>
  <c r="BN75" i="2"/>
  <c r="BO75" i="2"/>
  <c r="BK76" i="2"/>
  <c r="BL76" i="2"/>
  <c r="BM76" i="2"/>
  <c r="BN76" i="2"/>
  <c r="BO76" i="2"/>
  <c r="BK77" i="2"/>
  <c r="BL77" i="2"/>
  <c r="BM77" i="2"/>
  <c r="BN77" i="2"/>
  <c r="BO77" i="2"/>
  <c r="BK78" i="2"/>
  <c r="BL78" i="2"/>
  <c r="BM78" i="2"/>
  <c r="BN78" i="2"/>
  <c r="BO78" i="2"/>
  <c r="BK79" i="2"/>
  <c r="BL79" i="2"/>
  <c r="BM79" i="2"/>
  <c r="BN79" i="2"/>
  <c r="BO79" i="2"/>
  <c r="BK80" i="2"/>
  <c r="BL80" i="2"/>
  <c r="BM80" i="2"/>
  <c r="BN80" i="2"/>
  <c r="BO80" i="2"/>
  <c r="BK81" i="2"/>
  <c r="BL81" i="2"/>
  <c r="BM81" i="2"/>
  <c r="BN81" i="2"/>
  <c r="BO81" i="2"/>
  <c r="BK82" i="2"/>
  <c r="BL82" i="2"/>
  <c r="BM82" i="2"/>
  <c r="BN82" i="2"/>
  <c r="BO82" i="2"/>
  <c r="BK83" i="2"/>
  <c r="BL83" i="2"/>
  <c r="BM83" i="2"/>
  <c r="BN83" i="2"/>
  <c r="BO83" i="2"/>
  <c r="BK84" i="2"/>
  <c r="BL84" i="2"/>
  <c r="BM84" i="2"/>
  <c r="BN84" i="2"/>
  <c r="BO84" i="2"/>
  <c r="BK85" i="2"/>
  <c r="BL85" i="2"/>
  <c r="BM85" i="2"/>
  <c r="BN85" i="2"/>
  <c r="BO85" i="2"/>
  <c r="BK86" i="2"/>
  <c r="BL86" i="2"/>
  <c r="BM86" i="2"/>
  <c r="BN86" i="2"/>
  <c r="BO86" i="2"/>
  <c r="BK87" i="2"/>
  <c r="BL87" i="2"/>
  <c r="BM87" i="2"/>
  <c r="BN87" i="2"/>
  <c r="BO87" i="2"/>
  <c r="BK88" i="2"/>
  <c r="BL88" i="2"/>
  <c r="BM88" i="2"/>
  <c r="BN88" i="2"/>
  <c r="BO88" i="2"/>
  <c r="BK89" i="2"/>
  <c r="BL89" i="2"/>
  <c r="BM89" i="2"/>
  <c r="BN89" i="2"/>
  <c r="BO89" i="2"/>
  <c r="BK90" i="2"/>
  <c r="BL90" i="2"/>
  <c r="BM90" i="2"/>
  <c r="BN90" i="2"/>
  <c r="BO90" i="2"/>
  <c r="BK91" i="2"/>
  <c r="BL91" i="2"/>
  <c r="BM91" i="2"/>
  <c r="BN91" i="2"/>
  <c r="BO91" i="2"/>
  <c r="BK92" i="2"/>
  <c r="BL92" i="2"/>
  <c r="BM92" i="2"/>
  <c r="BN92" i="2"/>
  <c r="BO92" i="2"/>
  <c r="BK93" i="2"/>
  <c r="BL93" i="2"/>
  <c r="BM93" i="2"/>
  <c r="BN93" i="2"/>
  <c r="BO93" i="2"/>
  <c r="BK94" i="2"/>
  <c r="BL94" i="2"/>
  <c r="BM94" i="2"/>
  <c r="BN94" i="2"/>
  <c r="BO94" i="2"/>
  <c r="BK95" i="2"/>
  <c r="BL95" i="2"/>
  <c r="BM95" i="2"/>
  <c r="BN95" i="2"/>
  <c r="BO95" i="2"/>
  <c r="BK96" i="2"/>
  <c r="BL96" i="2"/>
  <c r="BM96" i="2"/>
  <c r="BN96" i="2"/>
  <c r="BO96" i="2"/>
  <c r="BK97" i="2"/>
  <c r="BL97" i="2"/>
  <c r="BM97" i="2"/>
  <c r="BN97" i="2"/>
  <c r="BO97" i="2"/>
  <c r="BK98" i="2"/>
  <c r="BL98" i="2"/>
  <c r="BM98" i="2"/>
  <c r="BN98" i="2"/>
  <c r="BO98" i="2"/>
  <c r="BK99" i="2"/>
  <c r="BL99" i="2"/>
  <c r="BM99" i="2"/>
  <c r="BN99" i="2"/>
  <c r="BO99" i="2"/>
  <c r="BK100" i="2"/>
  <c r="BL100" i="2"/>
  <c r="BM100" i="2"/>
  <c r="BN100" i="2"/>
  <c r="BO100" i="2"/>
  <c r="BK101" i="2"/>
  <c r="BL101" i="2"/>
  <c r="BM101" i="2"/>
  <c r="BN101" i="2"/>
  <c r="BO101" i="2"/>
  <c r="BK102" i="2"/>
  <c r="BL102" i="2"/>
  <c r="BM102" i="2"/>
  <c r="BN102" i="2"/>
  <c r="BO102" i="2"/>
  <c r="BK103" i="2"/>
  <c r="BL103" i="2"/>
  <c r="BM103" i="2"/>
  <c r="BN103" i="2"/>
  <c r="BO103" i="2"/>
  <c r="BK104" i="2"/>
  <c r="BL104" i="2"/>
  <c r="BM104" i="2"/>
  <c r="BN104" i="2"/>
  <c r="BO104" i="2"/>
  <c r="BK105" i="2"/>
  <c r="BL105" i="2"/>
  <c r="BM105" i="2"/>
  <c r="BN105" i="2"/>
  <c r="BO105" i="2"/>
  <c r="BK106" i="2"/>
  <c r="BL106" i="2"/>
  <c r="BM106" i="2"/>
  <c r="BN106" i="2"/>
  <c r="BO106" i="2"/>
  <c r="BK107" i="2"/>
  <c r="BL107" i="2"/>
  <c r="BM107" i="2"/>
  <c r="BN107" i="2"/>
  <c r="BO107" i="2"/>
  <c r="BK108" i="2"/>
  <c r="BL108" i="2"/>
  <c r="BM108" i="2"/>
  <c r="BN108" i="2"/>
  <c r="BO108" i="2"/>
  <c r="BK109" i="2"/>
  <c r="BL109" i="2"/>
  <c r="BM109" i="2"/>
  <c r="BN109" i="2"/>
  <c r="BO109" i="2"/>
  <c r="BK110" i="2"/>
  <c r="BL110" i="2"/>
  <c r="BM110" i="2"/>
  <c r="BN110" i="2"/>
  <c r="BO110" i="2"/>
  <c r="BK111" i="2"/>
  <c r="BL111" i="2"/>
  <c r="BM111" i="2"/>
  <c r="BN111" i="2"/>
  <c r="BO111" i="2"/>
  <c r="BK112" i="2"/>
  <c r="BL112" i="2"/>
  <c r="BM112" i="2"/>
  <c r="BN112" i="2"/>
  <c r="BO112" i="2"/>
  <c r="BK113" i="2"/>
  <c r="BL113" i="2"/>
  <c r="BM113" i="2"/>
  <c r="BN113" i="2"/>
  <c r="BO113" i="2"/>
  <c r="BK114" i="2"/>
  <c r="BL114" i="2"/>
  <c r="BM114" i="2"/>
  <c r="BN114" i="2"/>
  <c r="BO114" i="2"/>
  <c r="BK115" i="2"/>
  <c r="BL115" i="2"/>
  <c r="BM115" i="2"/>
  <c r="BN115" i="2"/>
  <c r="BO115" i="2"/>
  <c r="BK116" i="2"/>
  <c r="BL116" i="2"/>
  <c r="BM116" i="2"/>
  <c r="BN116" i="2"/>
  <c r="BO116" i="2"/>
  <c r="BK117" i="2"/>
  <c r="BL117" i="2"/>
  <c r="BM117" i="2"/>
  <c r="BN117" i="2"/>
  <c r="BO117" i="2"/>
  <c r="BK118" i="2"/>
  <c r="BL118" i="2"/>
  <c r="BM118" i="2"/>
  <c r="BN118" i="2"/>
  <c r="BO118" i="2"/>
  <c r="BK119" i="2"/>
  <c r="BL119" i="2"/>
  <c r="BM119" i="2"/>
  <c r="BN119" i="2"/>
  <c r="BO119" i="2"/>
  <c r="BK120" i="2"/>
  <c r="BL120" i="2"/>
  <c r="BM120" i="2"/>
  <c r="BN120" i="2"/>
  <c r="BO120" i="2"/>
  <c r="BK121" i="2"/>
  <c r="BL121" i="2"/>
  <c r="BM121" i="2"/>
  <c r="BN121" i="2"/>
  <c r="BO121" i="2"/>
  <c r="BK122" i="2"/>
  <c r="BL122" i="2"/>
  <c r="BM122" i="2"/>
  <c r="BN122" i="2"/>
  <c r="BO122" i="2"/>
  <c r="BK123" i="2"/>
  <c r="BL123" i="2"/>
  <c r="BM123" i="2"/>
  <c r="BN123" i="2"/>
  <c r="BO123" i="2"/>
  <c r="BK124" i="2"/>
  <c r="BL124" i="2"/>
  <c r="BM124" i="2"/>
  <c r="BN124" i="2"/>
  <c r="BO124" i="2"/>
  <c r="BK125" i="2"/>
  <c r="BL125" i="2"/>
  <c r="BM125" i="2"/>
  <c r="BN125" i="2"/>
  <c r="BO125" i="2"/>
  <c r="BK126" i="2"/>
  <c r="BL126" i="2"/>
  <c r="BM126" i="2"/>
  <c r="BN126" i="2"/>
  <c r="BO126" i="2"/>
  <c r="BK127" i="2"/>
  <c r="BL127" i="2"/>
  <c r="BM127" i="2"/>
  <c r="BN127" i="2"/>
  <c r="BO127" i="2"/>
  <c r="BK128" i="2"/>
  <c r="BL128" i="2"/>
  <c r="BM128" i="2"/>
  <c r="BN128" i="2"/>
  <c r="BO128" i="2"/>
  <c r="BK129" i="2"/>
  <c r="BL129" i="2"/>
  <c r="BM129" i="2"/>
  <c r="BN129" i="2"/>
  <c r="BO129" i="2"/>
  <c r="BK130" i="2"/>
  <c r="BL130" i="2"/>
  <c r="BM130" i="2"/>
  <c r="BN130" i="2"/>
  <c r="BO130" i="2"/>
  <c r="BO10" i="2"/>
  <c r="BN10" i="2"/>
  <c r="BM10" i="2"/>
  <c r="BL10" i="2"/>
  <c r="BK10" i="2"/>
  <c r="BK4" i="2"/>
  <c r="BC44" i="2" l="1"/>
  <c r="BD44" i="2"/>
  <c r="BE44" i="2"/>
  <c r="BF44" i="2"/>
  <c r="BG44" i="2"/>
  <c r="BC45" i="2"/>
  <c r="BD45" i="2"/>
  <c r="BE45" i="2"/>
  <c r="BF45" i="2"/>
  <c r="BG45" i="2"/>
  <c r="BC34" i="2"/>
  <c r="BD34" i="2"/>
  <c r="BE34" i="2"/>
  <c r="BF34" i="2"/>
  <c r="BG34" i="2"/>
  <c r="BC35" i="2"/>
  <c r="BD35" i="2"/>
  <c r="BE35" i="2"/>
  <c r="BF35" i="2"/>
  <c r="BG35" i="2"/>
  <c r="BC36" i="2"/>
  <c r="BD36" i="2"/>
  <c r="BE36" i="2"/>
  <c r="BF36" i="2"/>
  <c r="BG36" i="2"/>
  <c r="BC37" i="2"/>
  <c r="BD37" i="2"/>
  <c r="BE37" i="2"/>
  <c r="BF37" i="2"/>
  <c r="BG37" i="2"/>
  <c r="BC38" i="2"/>
  <c r="BD38" i="2"/>
  <c r="BE38" i="2"/>
  <c r="BF38" i="2"/>
  <c r="BG38" i="2"/>
  <c r="BC39" i="2"/>
  <c r="BD39" i="2"/>
  <c r="BE39" i="2"/>
  <c r="BF39" i="2"/>
  <c r="BG39" i="2"/>
  <c r="BC40" i="2"/>
  <c r="BD40" i="2"/>
  <c r="BE40" i="2"/>
  <c r="BF40" i="2"/>
  <c r="BG40" i="2"/>
  <c r="BC41" i="2"/>
  <c r="BD41" i="2"/>
  <c r="BE41" i="2"/>
  <c r="BF41" i="2"/>
  <c r="BG41" i="2"/>
  <c r="BC42" i="2"/>
  <c r="BD42" i="2"/>
  <c r="BE42" i="2"/>
  <c r="BF42" i="2"/>
  <c r="BG42" i="2"/>
  <c r="BC43" i="2"/>
  <c r="BD43" i="2"/>
  <c r="BE43" i="2"/>
  <c r="BF43" i="2"/>
  <c r="BG43" i="2"/>
  <c r="BC11" i="2"/>
  <c r="BD11" i="2"/>
  <c r="BE11" i="2"/>
  <c r="BF11" i="2"/>
  <c r="BG11" i="2"/>
  <c r="BC12" i="2"/>
  <c r="BD12" i="2"/>
  <c r="BE12" i="2"/>
  <c r="BF12" i="2"/>
  <c r="BG12" i="2"/>
  <c r="BC13" i="2"/>
  <c r="BD13" i="2"/>
  <c r="BE13" i="2"/>
  <c r="BF13" i="2"/>
  <c r="BG13" i="2"/>
  <c r="BC14" i="2"/>
  <c r="BD14" i="2"/>
  <c r="BE14" i="2"/>
  <c r="BF14" i="2"/>
  <c r="BG14" i="2"/>
  <c r="BC15" i="2"/>
  <c r="BD15" i="2"/>
  <c r="BE15" i="2"/>
  <c r="BF15" i="2"/>
  <c r="BG15" i="2"/>
  <c r="BC16" i="2"/>
  <c r="BD16" i="2"/>
  <c r="BE16" i="2"/>
  <c r="BF16" i="2"/>
  <c r="BG16" i="2"/>
  <c r="BC17" i="2"/>
  <c r="BD17" i="2"/>
  <c r="BE17" i="2"/>
  <c r="BF17" i="2"/>
  <c r="BG17" i="2"/>
  <c r="BC18" i="2"/>
  <c r="BD18" i="2"/>
  <c r="BE18" i="2"/>
  <c r="BF18" i="2"/>
  <c r="BG18" i="2"/>
  <c r="BC19" i="2"/>
  <c r="BD19" i="2"/>
  <c r="BE19" i="2"/>
  <c r="BF19" i="2"/>
  <c r="BG19" i="2"/>
  <c r="BC20" i="2"/>
  <c r="BD20" i="2"/>
  <c r="BE20" i="2"/>
  <c r="BF20" i="2"/>
  <c r="BG20" i="2"/>
  <c r="BC21" i="2"/>
  <c r="BD21" i="2"/>
  <c r="BE21" i="2"/>
  <c r="BF21" i="2"/>
  <c r="BG21" i="2"/>
  <c r="BC22" i="2"/>
  <c r="BD22" i="2"/>
  <c r="BE22" i="2"/>
  <c r="BF22" i="2"/>
  <c r="BG22" i="2"/>
  <c r="BC23" i="2"/>
  <c r="BD23" i="2"/>
  <c r="BE23" i="2"/>
  <c r="BF23" i="2"/>
  <c r="BG23" i="2"/>
  <c r="BC24" i="2"/>
  <c r="BD24" i="2"/>
  <c r="BE24" i="2"/>
  <c r="BF24" i="2"/>
  <c r="BG24" i="2"/>
  <c r="BC25" i="2"/>
  <c r="BD25" i="2"/>
  <c r="BE25" i="2"/>
  <c r="BF25" i="2"/>
  <c r="BG25" i="2"/>
  <c r="BC26" i="2"/>
  <c r="BD26" i="2"/>
  <c r="BE26" i="2"/>
  <c r="BF26" i="2"/>
  <c r="BG26" i="2"/>
  <c r="BC27" i="2"/>
  <c r="BD27" i="2"/>
  <c r="BE27" i="2"/>
  <c r="BF27" i="2"/>
  <c r="BG27" i="2"/>
  <c r="BC28" i="2"/>
  <c r="BD28" i="2"/>
  <c r="BE28" i="2"/>
  <c r="BF28" i="2"/>
  <c r="BG28" i="2"/>
  <c r="BC29" i="2"/>
  <c r="BD29" i="2"/>
  <c r="BE29" i="2"/>
  <c r="BF29" i="2"/>
  <c r="BG29" i="2"/>
  <c r="BC30" i="2"/>
  <c r="BD30" i="2"/>
  <c r="BE30" i="2"/>
  <c r="BF30" i="2"/>
  <c r="BG30" i="2"/>
  <c r="BC31" i="2"/>
  <c r="BD31" i="2"/>
  <c r="BE31" i="2"/>
  <c r="BF31" i="2"/>
  <c r="BG31" i="2"/>
  <c r="BC32" i="2"/>
  <c r="BD32" i="2"/>
  <c r="BE32" i="2"/>
  <c r="BF32" i="2"/>
  <c r="BG32" i="2"/>
  <c r="BC33" i="2"/>
  <c r="BD33" i="2"/>
  <c r="BE33" i="2"/>
  <c r="BF33" i="2"/>
  <c r="BG33" i="2"/>
  <c r="BG10" i="2"/>
  <c r="BF10" i="2"/>
  <c r="BE10" i="2"/>
  <c r="BD10" i="2"/>
  <c r="BC10" i="2"/>
  <c r="BC4" i="2"/>
  <c r="K6" i="31"/>
  <c r="AS16" i="31"/>
  <c r="M10" i="31"/>
  <c r="EO5" i="31"/>
  <c r="AQ29" i="2"/>
  <c r="FU19" i="31"/>
  <c r="B16" i="2"/>
  <c r="EN7" i="31"/>
  <c r="GR4" i="31"/>
  <c r="R5" i="2"/>
  <c r="CU16" i="31"/>
  <c r="GP14" i="31"/>
  <c r="DM6" i="31"/>
  <c r="GP6" i="31"/>
  <c r="R8" i="2"/>
  <c r="E14" i="39"/>
  <c r="FU25" i="31"/>
  <c r="AO12" i="2"/>
  <c r="X45" i="31"/>
  <c r="F5" i="39"/>
  <c r="CD10" i="31"/>
  <c r="AO18" i="2"/>
  <c r="AZ15" i="31"/>
  <c r="W7" i="31"/>
  <c r="GJ14" i="31"/>
  <c r="DI14" i="31"/>
  <c r="N10" i="2"/>
  <c r="FN11" i="31"/>
  <c r="CI10" i="31"/>
  <c r="FO3" i="31"/>
  <c r="DU7" i="31"/>
  <c r="FU10" i="31"/>
  <c r="AP5" i="31"/>
  <c r="FR14" i="31"/>
  <c r="EO3" i="31"/>
  <c r="D3" i="2"/>
  <c r="EH5" i="31"/>
  <c r="DT3" i="31"/>
  <c r="FT22" i="31"/>
  <c r="N4" i="31"/>
  <c r="AZ3" i="31"/>
  <c r="AA8" i="2"/>
  <c r="V36" i="31"/>
  <c r="CW4" i="31"/>
  <c r="E24" i="39"/>
  <c r="AN30" i="2"/>
  <c r="FT28" i="31"/>
  <c r="U36" i="31"/>
  <c r="CC10" i="31"/>
  <c r="O10" i="31"/>
  <c r="DJ14" i="31"/>
  <c r="AC16" i="2"/>
  <c r="GJ11" i="31"/>
  <c r="A8" i="2"/>
  <c r="GL7" i="31"/>
  <c r="V40" i="31"/>
  <c r="E23" i="39"/>
  <c r="CV6" i="31"/>
  <c r="FX22" i="31"/>
  <c r="CC3" i="31"/>
  <c r="CA3" i="31"/>
  <c r="CU6" i="31"/>
  <c r="FN4" i="31"/>
  <c r="E13" i="31"/>
  <c r="U5" i="31"/>
  <c r="M7" i="31"/>
  <c r="AN13" i="2"/>
  <c r="AN18" i="2"/>
  <c r="AO4" i="31"/>
  <c r="EL15" i="31"/>
  <c r="X34" i="31"/>
  <c r="E5" i="31"/>
  <c r="AO29" i="2"/>
  <c r="U19" i="31"/>
  <c r="AQ7" i="31"/>
  <c r="U34" i="31"/>
  <c r="FA4" i="31"/>
  <c r="EM4" i="31"/>
  <c r="FV18" i="31"/>
  <c r="W47" i="31"/>
  <c r="A16" i="2"/>
  <c r="U10" i="31"/>
  <c r="FR15" i="31"/>
  <c r="AO30" i="2"/>
  <c r="AD3" i="2"/>
  <c r="EM12" i="31"/>
  <c r="CQ5" i="31"/>
  <c r="AN35" i="2"/>
  <c r="CW9" i="31"/>
  <c r="AB26" i="31"/>
  <c r="AB14" i="2"/>
  <c r="FX28" i="31"/>
  <c r="GS4" i="31"/>
  <c r="EG4" i="31"/>
  <c r="U4" i="31"/>
  <c r="X38" i="31"/>
  <c r="AE25" i="2"/>
  <c r="Q13" i="2"/>
  <c r="M16" i="31"/>
  <c r="D16" i="2"/>
  <c r="DK7" i="31"/>
  <c r="CG3" i="31"/>
  <c r="CH5" i="31"/>
  <c r="F11" i="39"/>
  <c r="AN23" i="2"/>
  <c r="AD14" i="2"/>
  <c r="AQ35" i="2"/>
  <c r="AC20" i="2"/>
  <c r="AZ5" i="31"/>
  <c r="GJ12" i="31"/>
  <c r="FU9" i="31"/>
  <c r="N15" i="31"/>
  <c r="F10" i="39"/>
  <c r="CV17" i="31"/>
  <c r="CX6" i="31"/>
  <c r="DT20" i="31"/>
  <c r="P23" i="2"/>
  <c r="CY12" i="31"/>
  <c r="E2" i="39"/>
  <c r="DR9" i="31"/>
  <c r="FO11" i="31"/>
  <c r="AP26" i="2"/>
  <c r="AP7" i="31"/>
  <c r="W39" i="31"/>
  <c r="FQ12" i="31"/>
  <c r="U11" i="31"/>
  <c r="Y32" i="31"/>
  <c r="C16" i="2"/>
  <c r="E4" i="39"/>
  <c r="GT4" i="31"/>
  <c r="AD6" i="2"/>
  <c r="GS12" i="31"/>
  <c r="AQ30" i="2"/>
  <c r="F16" i="39"/>
  <c r="X41" i="31"/>
  <c r="CY4" i="31"/>
  <c r="N32" i="2"/>
  <c r="Y33" i="31"/>
  <c r="AM32" i="2"/>
  <c r="F2" i="39"/>
  <c r="D6" i="31"/>
  <c r="U16" i="31"/>
  <c r="S4" i="31"/>
  <c r="A22" i="2"/>
  <c r="E22" i="39"/>
  <c r="GL12" i="31"/>
  <c r="BA6" i="31"/>
  <c r="Y35" i="31"/>
  <c r="B22" i="2"/>
  <c r="X16" i="31"/>
  <c r="FP12" i="31"/>
  <c r="S16" i="31"/>
  <c r="DL14" i="31"/>
  <c r="W20" i="31"/>
  <c r="C20" i="2"/>
  <c r="AQ10" i="2"/>
  <c r="CY13" i="31"/>
  <c r="GT3" i="31"/>
  <c r="CW8" i="31"/>
  <c r="FW28" i="31"/>
  <c r="W16" i="31"/>
  <c r="AQ4" i="31"/>
  <c r="L15" i="31"/>
  <c r="BO5" i="2"/>
  <c r="FX25" i="31"/>
  <c r="EG3" i="31"/>
  <c r="AR12" i="31"/>
  <c r="BN3" i="2"/>
  <c r="V21" i="31"/>
  <c r="AC25" i="2"/>
  <c r="FO12" i="31"/>
  <c r="AC10" i="2"/>
  <c r="U44" i="31"/>
  <c r="GJ4" i="31"/>
  <c r="DM11" i="31"/>
  <c r="FT10" i="31"/>
  <c r="BG3" i="2"/>
  <c r="C16" i="31"/>
  <c r="V8" i="31"/>
  <c r="AS6" i="31"/>
  <c r="AO10" i="2"/>
  <c r="Y45" i="31"/>
  <c r="FX11" i="31"/>
  <c r="CV14" i="31"/>
  <c r="AP6" i="31"/>
  <c r="FQ3" i="31"/>
  <c r="DU14" i="31"/>
  <c r="AP4" i="2"/>
  <c r="GK3" i="31"/>
  <c r="CO3" i="31"/>
  <c r="EM10" i="31"/>
  <c r="GS7" i="31"/>
  <c r="AM23" i="2"/>
  <c r="X14" i="31"/>
  <c r="DL11" i="31"/>
  <c r="W37" i="31"/>
  <c r="X28" i="31"/>
  <c r="B17" i="2"/>
  <c r="AC5" i="2"/>
  <c r="FX3" i="31"/>
  <c r="P33" i="2"/>
  <c r="FU29" i="31"/>
  <c r="CX19" i="31"/>
  <c r="M13" i="31"/>
  <c r="DT9" i="31"/>
  <c r="BN5" i="2"/>
  <c r="D6" i="2"/>
  <c r="P7" i="2"/>
  <c r="DQ20" i="31"/>
  <c r="A4" i="2"/>
  <c r="AP24" i="2"/>
  <c r="AP3" i="31"/>
  <c r="AN8" i="2"/>
  <c r="S22" i="31"/>
  <c r="E12" i="31"/>
  <c r="DL5" i="31"/>
  <c r="DS5" i="31"/>
  <c r="S32" i="2"/>
  <c r="F4" i="31"/>
  <c r="V15" i="31"/>
  <c r="E16" i="39"/>
  <c r="FT8" i="31"/>
  <c r="FX6" i="31"/>
  <c r="E20" i="2"/>
  <c r="N26" i="2"/>
  <c r="CJ11" i="31"/>
  <c r="AP23" i="2"/>
  <c r="Q26" i="2"/>
  <c r="Q4" i="31"/>
  <c r="E26" i="2"/>
  <c r="BA15" i="31"/>
  <c r="B6" i="2"/>
  <c r="R26" i="2"/>
  <c r="EN4" i="31"/>
  <c r="CX9" i="31"/>
  <c r="E8" i="39"/>
  <c r="L12" i="31"/>
  <c r="CY3" i="31"/>
  <c r="L7" i="31"/>
  <c r="EM11" i="31"/>
  <c r="CJ5" i="31"/>
  <c r="AQ3" i="2"/>
  <c r="E19" i="39"/>
  <c r="BO3" i="2"/>
  <c r="AE4" i="2"/>
  <c r="U46" i="31"/>
  <c r="C8" i="2"/>
  <c r="AR15" i="31"/>
  <c r="P24" i="2"/>
  <c r="Y34" i="31"/>
  <c r="FW11" i="31"/>
  <c r="EO11" i="31"/>
  <c r="FX10" i="31"/>
  <c r="FQ15" i="31"/>
  <c r="AA6" i="2"/>
  <c r="U42" i="31"/>
  <c r="W40" i="31"/>
  <c r="CW20" i="31"/>
  <c r="F24" i="39"/>
  <c r="AC11" i="2"/>
  <c r="GJ3" i="31"/>
  <c r="GK12" i="31"/>
  <c r="W36" i="31"/>
  <c r="E5" i="2"/>
  <c r="GJ7" i="31"/>
  <c r="D9" i="2"/>
  <c r="AA4" i="2"/>
  <c r="O4" i="2"/>
  <c r="DR6" i="31"/>
  <c r="EH8" i="31"/>
  <c r="CX20" i="31"/>
  <c r="FP15" i="31"/>
  <c r="AN3" i="2"/>
  <c r="DM14" i="31"/>
  <c r="V31" i="31"/>
  <c r="CY5" i="31"/>
  <c r="F25" i="39"/>
  <c r="U9" i="31"/>
  <c r="W18" i="31"/>
  <c r="C22" i="2"/>
  <c r="FV11" i="31"/>
  <c r="CI15" i="31"/>
  <c r="CH7" i="31"/>
  <c r="BE4" i="2"/>
  <c r="FX4" i="31"/>
  <c r="DQ8" i="31"/>
  <c r="EL4" i="31"/>
  <c r="FW9" i="31"/>
  <c r="AE22" i="2"/>
  <c r="EM5" i="31"/>
  <c r="CH11" i="31"/>
  <c r="W46" i="31"/>
  <c r="GL5" i="31"/>
  <c r="CF6" i="31"/>
  <c r="AC14" i="2"/>
  <c r="X44" i="31"/>
  <c r="C17" i="2"/>
  <c r="GQ11" i="31"/>
  <c r="BM4" i="2"/>
  <c r="FV26" i="31"/>
  <c r="V35" i="31"/>
  <c r="V32" i="31"/>
  <c r="F9" i="39"/>
  <c r="S27" i="2"/>
  <c r="P13" i="2"/>
  <c r="B7" i="31"/>
  <c r="L4" i="31"/>
  <c r="AP27" i="2"/>
  <c r="FU8" i="31"/>
  <c r="CJ12" i="31"/>
  <c r="CW5" i="31"/>
  <c r="AS7" i="31"/>
  <c r="V10" i="31"/>
  <c r="DT4" i="31"/>
  <c r="E11" i="2"/>
  <c r="W15" i="31"/>
  <c r="AO6" i="2"/>
  <c r="E12" i="39"/>
  <c r="X46" i="31"/>
  <c r="B5" i="2"/>
  <c r="V18" i="31"/>
  <c r="DJ4" i="31"/>
  <c r="FN6" i="31"/>
  <c r="FV3" i="31"/>
  <c r="O4" i="31"/>
  <c r="AN7" i="2"/>
  <c r="U18" i="31"/>
  <c r="B10" i="31"/>
  <c r="FX18" i="31"/>
  <c r="AO11" i="2"/>
  <c r="GR5" i="31"/>
  <c r="B16" i="31"/>
  <c r="B20" i="2"/>
  <c r="AB3" i="2"/>
  <c r="U17" i="31"/>
  <c r="Q33" i="2"/>
  <c r="D25" i="2"/>
  <c r="CV4" i="31"/>
  <c r="DS21" i="31"/>
  <c r="AD17" i="2"/>
  <c r="DR8" i="31"/>
  <c r="GQ4" i="31"/>
  <c r="FR10" i="31"/>
  <c r="BL4" i="31"/>
  <c r="EN11" i="31"/>
  <c r="S6" i="31"/>
  <c r="O7" i="31"/>
  <c r="U28" i="31"/>
  <c r="CV3" i="31"/>
  <c r="EL6" i="31"/>
  <c r="Y43" i="31"/>
  <c r="CB10" i="31"/>
  <c r="Q4" i="2"/>
  <c r="N5" i="31"/>
  <c r="CI14" i="31"/>
  <c r="E19" i="2"/>
  <c r="EH3" i="31"/>
  <c r="CG11" i="31"/>
  <c r="GJ5" i="31"/>
  <c r="CR5" i="31"/>
  <c r="CJ7" i="31"/>
  <c r="EN6" i="31"/>
  <c r="FQ11" i="31"/>
  <c r="S18" i="2"/>
  <c r="AC3" i="2"/>
  <c r="AN4" i="2"/>
  <c r="GI4" i="31"/>
  <c r="CW13" i="31"/>
  <c r="CV7" i="31"/>
  <c r="R29" i="2"/>
  <c r="AQ15" i="31"/>
  <c r="DJ3" i="31"/>
  <c r="AB26" i="2"/>
  <c r="EN15" i="31"/>
  <c r="GQ5" i="31"/>
  <c r="AR16" i="31"/>
  <c r="AO27" i="2"/>
  <c r="GK6" i="31"/>
  <c r="GQ12" i="31"/>
  <c r="AQ12" i="2"/>
  <c r="GI10" i="31"/>
  <c r="D3" i="31"/>
  <c r="E5" i="39"/>
  <c r="AS15" i="31"/>
  <c r="BA7" i="31"/>
  <c r="W10" i="31"/>
  <c r="AE11" i="2"/>
  <c r="Y41" i="31"/>
  <c r="V30" i="31"/>
  <c r="V45" i="31"/>
  <c r="AX6" i="31"/>
  <c r="FW3" i="31"/>
  <c r="Q24" i="2"/>
  <c r="D5" i="31"/>
  <c r="AE23" i="2"/>
  <c r="CG12" i="31"/>
  <c r="F13" i="39"/>
  <c r="AD8" i="2"/>
  <c r="U30" i="31"/>
  <c r="D20" i="2"/>
  <c r="AB8" i="2"/>
  <c r="E11" i="39"/>
  <c r="FC4" i="31"/>
  <c r="O13" i="31"/>
  <c r="AA4" i="31"/>
  <c r="F14" i="39"/>
  <c r="DR17" i="31"/>
  <c r="AO32" i="2"/>
  <c r="N20" i="2"/>
  <c r="AN15" i="2"/>
  <c r="CF11" i="31"/>
  <c r="FU6" i="31"/>
  <c r="BM3" i="2"/>
  <c r="FU20" i="31"/>
  <c r="DR3" i="31"/>
  <c r="DU21" i="31"/>
  <c r="GS15" i="31"/>
  <c r="D4" i="31"/>
  <c r="EF4" i="31"/>
  <c r="GQ15" i="31"/>
  <c r="F26" i="39"/>
  <c r="BF3" i="2"/>
  <c r="Y31" i="31"/>
  <c r="BF4" i="2"/>
  <c r="E10" i="2"/>
  <c r="AW6" i="31"/>
  <c r="EH4" i="31"/>
  <c r="Q29" i="2"/>
  <c r="V29" i="31"/>
  <c r="X17" i="31"/>
  <c r="CX16" i="31"/>
  <c r="GT5" i="31"/>
  <c r="DK11" i="31"/>
  <c r="GT7" i="31"/>
  <c r="V16" i="31"/>
  <c r="D12" i="31"/>
  <c r="EW5" i="31"/>
  <c r="FU7" i="31"/>
  <c r="D7" i="2"/>
  <c r="X37" i="31"/>
  <c r="A19" i="2"/>
  <c r="FW5" i="31"/>
  <c r="EL5" i="31"/>
  <c r="AQ27" i="2"/>
  <c r="FX20" i="31"/>
  <c r="B6" i="31"/>
  <c r="BJ4" i="31"/>
  <c r="FO10" i="31"/>
  <c r="CR3" i="31"/>
  <c r="U38" i="31"/>
  <c r="EG5" i="31"/>
  <c r="V47" i="31"/>
  <c r="CU19" i="31"/>
  <c r="U23" i="31"/>
  <c r="AQ6" i="31"/>
  <c r="DJ15" i="31"/>
  <c r="CV19" i="31"/>
  <c r="R23" i="2"/>
  <c r="V19" i="31"/>
  <c r="AO4" i="2"/>
  <c r="FR4" i="31"/>
  <c r="EN5" i="31"/>
  <c r="AQ20" i="2"/>
  <c r="W17" i="31"/>
  <c r="D8" i="2"/>
  <c r="DS7" i="31"/>
  <c r="DI11" i="31"/>
  <c r="AP29" i="2"/>
  <c r="CO10" i="31"/>
  <c r="Y46" i="31"/>
  <c r="D23" i="2"/>
  <c r="BG5" i="2"/>
  <c r="C14" i="2"/>
  <c r="W45" i="31"/>
  <c r="GH14" i="31"/>
  <c r="AZ13" i="31"/>
  <c r="M12" i="31"/>
  <c r="X3" i="31"/>
  <c r="DI4" i="31"/>
  <c r="AO20" i="2"/>
  <c r="CD3" i="31"/>
  <c r="CP10" i="31"/>
  <c r="Q21" i="2"/>
  <c r="AQ6" i="2"/>
  <c r="L10" i="31"/>
  <c r="AQ7" i="2"/>
  <c r="D4" i="2"/>
  <c r="FW18" i="31"/>
  <c r="AD7" i="2"/>
  <c r="C4" i="31"/>
  <c r="AC19" i="2"/>
  <c r="CY6" i="31"/>
  <c r="AZ16" i="31"/>
  <c r="AZ4" i="31"/>
  <c r="DJ11" i="31"/>
  <c r="AO21" i="2"/>
  <c r="BO9" i="2"/>
  <c r="X47" i="31"/>
  <c r="V5" i="31"/>
  <c r="BE9" i="2"/>
  <c r="P8" i="2"/>
  <c r="E16" i="31"/>
  <c r="EY4" i="31"/>
  <c r="AY10" i="31"/>
  <c r="CV12" i="31"/>
  <c r="P27" i="2"/>
  <c r="E21" i="39"/>
  <c r="D14" i="2"/>
  <c r="N3" i="31"/>
  <c r="GI7" i="31"/>
  <c r="BD9" i="2"/>
  <c r="FV22" i="31"/>
  <c r="CU13" i="31"/>
  <c r="EF8" i="31"/>
  <c r="W28" i="31"/>
  <c r="GS14" i="31"/>
  <c r="DK6" i="31"/>
  <c r="Y26" i="31"/>
  <c r="R21" i="2"/>
  <c r="GI15" i="31"/>
  <c r="AD20" i="2"/>
  <c r="AD26" i="31"/>
  <c r="GQ10" i="31"/>
  <c r="B10" i="2"/>
  <c r="FT4" i="31"/>
  <c r="FW19" i="31"/>
  <c r="DK15" i="31"/>
  <c r="F6" i="39"/>
  <c r="AE19" i="2"/>
  <c r="FO15" i="31"/>
  <c r="EK11" i="31"/>
  <c r="AP12" i="31"/>
  <c r="AY3" i="31"/>
  <c r="EM15" i="31"/>
  <c r="C13" i="31"/>
  <c r="X18" i="31"/>
  <c r="B9" i="2"/>
  <c r="F15" i="39"/>
  <c r="FR7" i="31"/>
  <c r="FT25" i="31"/>
  <c r="W14" i="31"/>
  <c r="BK9" i="31"/>
  <c r="AO8" i="2"/>
  <c r="AY16" i="31"/>
  <c r="AX15" i="31"/>
  <c r="DU20" i="31"/>
  <c r="U20" i="31"/>
  <c r="DL3" i="31"/>
  <c r="Q23" i="2"/>
  <c r="CP4" i="31"/>
  <c r="FU3" i="31"/>
  <c r="CI6" i="31"/>
  <c r="DU15" i="31"/>
  <c r="AC26" i="31"/>
  <c r="DL6" i="31"/>
  <c r="AE26" i="31"/>
  <c r="O16" i="31"/>
  <c r="CY14" i="31"/>
  <c r="FP11" i="31"/>
  <c r="DM4" i="31"/>
  <c r="F23" i="39"/>
  <c r="V12" i="31"/>
  <c r="E16" i="2"/>
  <c r="Q8" i="2"/>
  <c r="N7" i="31"/>
  <c r="DK14" i="31"/>
  <c r="EK6" i="31"/>
  <c r="AB16" i="2"/>
  <c r="GS5" i="31"/>
  <c r="FV20" i="31"/>
  <c r="U22" i="31"/>
  <c r="EO12" i="31"/>
  <c r="AY15" i="31"/>
  <c r="F12" i="39"/>
  <c r="C7" i="2"/>
  <c r="FO6" i="31"/>
  <c r="N6" i="2"/>
  <c r="GQ7" i="31"/>
  <c r="E25" i="2"/>
  <c r="BD5" i="2"/>
  <c r="E4" i="31"/>
  <c r="S14" i="31"/>
  <c r="DJ7" i="31"/>
  <c r="CO4" i="31"/>
  <c r="N12" i="31"/>
  <c r="X9" i="31"/>
  <c r="V11" i="31"/>
  <c r="FV5" i="31"/>
  <c r="N12" i="2"/>
  <c r="G4" i="31"/>
  <c r="DS15" i="31"/>
  <c r="AE9" i="2"/>
  <c r="CI4" i="31"/>
  <c r="FX5" i="31"/>
  <c r="CC4" i="31"/>
  <c r="DR15" i="31"/>
  <c r="X40" i="31"/>
  <c r="DM15" i="31"/>
  <c r="CX8" i="31"/>
  <c r="CV5" i="31"/>
  <c r="FX23" i="31"/>
  <c r="R30" i="2"/>
  <c r="Y42" i="31"/>
  <c r="EO14" i="31"/>
  <c r="AX10" i="31"/>
  <c r="X5" i="31"/>
  <c r="Q12" i="2"/>
  <c r="CU8" i="31"/>
  <c r="DS3" i="31"/>
  <c r="AR13" i="31"/>
  <c r="AX3" i="31"/>
  <c r="DR21" i="31"/>
  <c r="EF3" i="31"/>
  <c r="E7" i="2"/>
  <c r="DS6" i="31"/>
  <c r="DU18" i="31"/>
  <c r="X15" i="31"/>
  <c r="AD22" i="2"/>
  <c r="V39" i="31"/>
  <c r="AS5" i="31"/>
  <c r="V46" i="31"/>
  <c r="EF5" i="31"/>
  <c r="D10" i="31"/>
  <c r="GJ6" i="31"/>
  <c r="E6" i="2"/>
  <c r="AR3" i="31"/>
  <c r="AP8" i="2"/>
  <c r="U21" i="31"/>
  <c r="CX4" i="31"/>
  <c r="AX16" i="31"/>
  <c r="BI3" i="31"/>
  <c r="FW7" i="31"/>
  <c r="CW17" i="31"/>
  <c r="K4" i="31"/>
  <c r="BL5" i="2"/>
  <c r="EL14" i="31"/>
  <c r="FP14" i="31"/>
  <c r="BA4" i="31"/>
  <c r="S8" i="31"/>
  <c r="AM12" i="2"/>
  <c r="V9" i="31"/>
  <c r="X4" i="31"/>
  <c r="C15" i="31"/>
  <c r="CH12" i="31"/>
  <c r="S12" i="31"/>
  <c r="AN21" i="2"/>
  <c r="FP6" i="31"/>
  <c r="O6" i="2"/>
  <c r="S18" i="31"/>
  <c r="E17" i="39"/>
  <c r="S21" i="2"/>
  <c r="U40" i="31"/>
  <c r="W43" i="31"/>
  <c r="AY7" i="31"/>
  <c r="GK10" i="31"/>
  <c r="CH14" i="31"/>
  <c r="FU4" i="31"/>
  <c r="FV25" i="31"/>
  <c r="CX14" i="31"/>
  <c r="AX13" i="31"/>
  <c r="X30" i="31"/>
  <c r="AX12" i="31"/>
  <c r="GJ15" i="31"/>
  <c r="CG6" i="31"/>
  <c r="E13" i="39"/>
  <c r="CJ10" i="31"/>
  <c r="EO10" i="31"/>
  <c r="EL11" i="31"/>
  <c r="AB22" i="2"/>
  <c r="FX8" i="31"/>
  <c r="AY6" i="31"/>
  <c r="E20" i="39"/>
  <c r="FP7" i="31"/>
  <c r="D13" i="31"/>
  <c r="AB9" i="2"/>
  <c r="U13" i="31"/>
  <c r="AA10" i="2"/>
  <c r="V44" i="31"/>
  <c r="AW4" i="31"/>
  <c r="FO5" i="31"/>
  <c r="EL7" i="31"/>
  <c r="C12" i="31"/>
  <c r="W26" i="31"/>
  <c r="DT5" i="31"/>
  <c r="BD4" i="2"/>
  <c r="X21" i="31"/>
  <c r="B7" i="2"/>
  <c r="GL15" i="31"/>
  <c r="E10" i="39"/>
  <c r="X22" i="31"/>
  <c r="DS20" i="31"/>
  <c r="V41" i="31"/>
  <c r="CX12" i="31"/>
  <c r="AC4" i="2"/>
  <c r="BA3" i="31"/>
  <c r="EN3" i="31"/>
  <c r="DU5" i="31"/>
  <c r="E6" i="39"/>
  <c r="FO7" i="31"/>
  <c r="BK5" i="31"/>
  <c r="Y44" i="31"/>
  <c r="CG4" i="31"/>
  <c r="GJ10" i="31"/>
  <c r="X26" i="31"/>
  <c r="R7" i="2"/>
  <c r="DK4" i="31"/>
  <c r="FW8" i="31"/>
  <c r="E3" i="31"/>
  <c r="V42" i="31"/>
  <c r="AB20" i="2"/>
  <c r="EK4" i="31"/>
  <c r="X39" i="31"/>
  <c r="FR12" i="31"/>
  <c r="Q32" i="2"/>
  <c r="E25" i="39"/>
  <c r="Y38" i="31"/>
  <c r="AO36" i="2"/>
  <c r="DU17" i="31"/>
  <c r="AE10" i="2"/>
  <c r="E3" i="2"/>
  <c r="AQ16" i="31"/>
  <c r="W38" i="31"/>
  <c r="BL9" i="2"/>
  <c r="X19" i="31"/>
  <c r="CG10" i="31"/>
  <c r="AN10" i="2"/>
  <c r="DS14" i="31"/>
  <c r="W30" i="31"/>
  <c r="E6" i="31"/>
  <c r="L16" i="31"/>
  <c r="AS10" i="31"/>
  <c r="FV4" i="31"/>
  <c r="E15" i="39"/>
  <c r="EW4" i="31"/>
  <c r="Y40" i="31"/>
  <c r="N13" i="31"/>
  <c r="CV8" i="31"/>
  <c r="AY13" i="31"/>
  <c r="E15" i="31"/>
  <c r="EL3" i="31"/>
  <c r="DM7" i="31"/>
  <c r="FU28" i="31"/>
  <c r="W32" i="31"/>
  <c r="FW22" i="31"/>
  <c r="W23" i="31"/>
  <c r="P29" i="2"/>
  <c r="DR7" i="31"/>
  <c r="FX19" i="31"/>
  <c r="S29" i="2"/>
  <c r="AC8" i="2"/>
  <c r="AD19" i="2"/>
  <c r="DQ4" i="31"/>
  <c r="K12" i="31"/>
  <c r="AQ5" i="31"/>
  <c r="BK3" i="31"/>
  <c r="AP13" i="31"/>
  <c r="FV7" i="31"/>
  <c r="GI3" i="31"/>
  <c r="GH4" i="31"/>
  <c r="GK15" i="31"/>
  <c r="AO9" i="2"/>
  <c r="FR3" i="31"/>
  <c r="CI5" i="31"/>
  <c r="N6" i="31"/>
  <c r="Q11" i="2"/>
  <c r="P26" i="2"/>
  <c r="AQ14" i="2"/>
  <c r="EN12" i="31"/>
  <c r="DQ14" i="31"/>
  <c r="EM6" i="31"/>
  <c r="BL3" i="31"/>
  <c r="DT6" i="31"/>
  <c r="F4" i="39"/>
  <c r="AD10" i="2"/>
  <c r="W44" i="31"/>
  <c r="R12" i="2"/>
  <c r="FX9" i="31"/>
  <c r="EE8" i="31"/>
  <c r="CH6" i="31"/>
  <c r="CX5" i="31"/>
  <c r="EM7" i="31"/>
  <c r="AN26" i="2"/>
  <c r="GP11" i="31"/>
  <c r="DM10" i="31"/>
  <c r="R10" i="2"/>
  <c r="AM14" i="2"/>
  <c r="FU18" i="31"/>
  <c r="O10" i="2"/>
  <c r="AC9" i="2"/>
  <c r="AN6" i="2"/>
  <c r="DU9" i="31"/>
  <c r="AP10" i="31"/>
  <c r="B15" i="31"/>
  <c r="DR4" i="31"/>
  <c r="AP20" i="2"/>
  <c r="AS3" i="31"/>
  <c r="D22" i="2"/>
  <c r="X23" i="31"/>
  <c r="F17" i="39"/>
  <c r="AZ10" i="31"/>
  <c r="FX29" i="31"/>
  <c r="AQ13" i="2"/>
  <c r="DT21" i="31"/>
  <c r="D10" i="2"/>
  <c r="AC17" i="2"/>
  <c r="CJ14" i="31"/>
  <c r="AQ3" i="31"/>
  <c r="V4" i="31"/>
  <c r="W34" i="31"/>
  <c r="AE20" i="2"/>
  <c r="B11" i="2"/>
  <c r="D17" i="2"/>
  <c r="C3" i="2"/>
  <c r="AM10" i="2"/>
  <c r="FP3" i="31"/>
  <c r="EY5" i="31"/>
  <c r="S26" i="2"/>
  <c r="CI3" i="31"/>
  <c r="Y47" i="31"/>
  <c r="M3" i="31"/>
  <c r="AQ33" i="2"/>
  <c r="DT14" i="31"/>
  <c r="FQ7" i="31"/>
  <c r="DL10" i="31"/>
  <c r="B14" i="2"/>
  <c r="GQ3" i="31"/>
  <c r="AM20" i="2"/>
  <c r="S24" i="2"/>
  <c r="BL4" i="2"/>
  <c r="CA5" i="31"/>
  <c r="AP4" i="31"/>
  <c r="X42" i="31"/>
  <c r="S33" i="2"/>
  <c r="Q9" i="2"/>
  <c r="AB7" i="2"/>
  <c r="GT6" i="31"/>
  <c r="W35" i="31"/>
  <c r="CU4" i="31"/>
  <c r="CI7" i="31"/>
  <c r="O8" i="2"/>
  <c r="Z4" i="31"/>
  <c r="AP9" i="2"/>
  <c r="FW23" i="31"/>
  <c r="W29" i="31"/>
  <c r="DL12" i="31"/>
  <c r="C11" i="2"/>
  <c r="E23" i="2"/>
  <c r="AB23" i="2"/>
  <c r="DJ10" i="31"/>
  <c r="AP3" i="2"/>
  <c r="FW26" i="31"/>
  <c r="FR6" i="31"/>
  <c r="CQ3" i="31"/>
  <c r="V20" i="31"/>
  <c r="B4" i="31"/>
  <c r="AX4" i="31"/>
  <c r="AS12" i="31"/>
  <c r="FU23" i="31"/>
  <c r="AQ15" i="2"/>
  <c r="FR11" i="31"/>
  <c r="B3" i="2"/>
  <c r="GK7" i="31"/>
  <c r="R33" i="2"/>
  <c r="FV19" i="31"/>
  <c r="A6" i="2"/>
  <c r="P4" i="2"/>
  <c r="EO7" i="31"/>
  <c r="CD4" i="31"/>
  <c r="FR5" i="31"/>
  <c r="V23" i="31"/>
  <c r="AP15" i="2"/>
  <c r="GL11" i="31"/>
  <c r="FA5" i="31"/>
  <c r="FV23" i="31"/>
  <c r="AO5" i="2"/>
  <c r="EN10" i="31"/>
  <c r="Y29" i="31"/>
  <c r="AP30" i="2"/>
  <c r="R3" i="2"/>
  <c r="Y39" i="31"/>
  <c r="GS10" i="31"/>
  <c r="U8" i="31"/>
  <c r="P30" i="2"/>
  <c r="U32" i="31"/>
  <c r="Q6" i="2"/>
  <c r="GL14" i="31"/>
  <c r="M5" i="31"/>
  <c r="BM5" i="2"/>
  <c r="AP15" i="31"/>
  <c r="BA5" i="31"/>
  <c r="DR20" i="31"/>
  <c r="AZ6" i="31"/>
  <c r="C10" i="31"/>
  <c r="AC22" i="2"/>
  <c r="FC5" i="31"/>
  <c r="C7" i="31"/>
  <c r="DJ6" i="31"/>
  <c r="O5" i="2"/>
  <c r="AD26" i="2"/>
  <c r="DS9" i="31"/>
  <c r="DJ5" i="31"/>
  <c r="AQ26" i="2"/>
  <c r="DT15" i="31"/>
  <c r="V22" i="31"/>
  <c r="CQ10" i="31"/>
  <c r="AM26" i="2"/>
  <c r="AO24" i="2"/>
  <c r="O6" i="31"/>
  <c r="S30" i="2"/>
  <c r="AR4" i="31"/>
  <c r="FQ10" i="31"/>
  <c r="R6" i="2"/>
  <c r="C26" i="2"/>
  <c r="FV29" i="31"/>
  <c r="DT17" i="31"/>
  <c r="CF14" i="31"/>
  <c r="X32" i="31"/>
  <c r="AN12" i="2"/>
  <c r="P4" i="31"/>
  <c r="FU26" i="31"/>
  <c r="E10" i="31"/>
  <c r="AM35" i="2"/>
  <c r="A25" i="2"/>
  <c r="GI5" i="31"/>
  <c r="AP35" i="2"/>
  <c r="BE5" i="2"/>
  <c r="BF9" i="2"/>
  <c r="AM4" i="2"/>
  <c r="BJ9" i="31"/>
  <c r="P12" i="2"/>
  <c r="AQ11" i="2"/>
  <c r="AR5" i="31"/>
  <c r="AO13" i="2"/>
  <c r="CV20" i="31"/>
  <c r="S20" i="31"/>
  <c r="AQ13" i="31"/>
  <c r="DM3" i="31"/>
  <c r="AB6" i="2"/>
  <c r="R24" i="2"/>
  <c r="P5" i="2"/>
  <c r="C5" i="2"/>
  <c r="C6" i="31"/>
  <c r="GT14" i="31"/>
  <c r="X11" i="31"/>
  <c r="AD4" i="2"/>
  <c r="A15" i="31"/>
  <c r="R4" i="2"/>
  <c r="E7" i="39"/>
  <c r="BJ5" i="31"/>
  <c r="CY16" i="31"/>
  <c r="O12" i="31"/>
  <c r="CW7" i="31"/>
  <c r="CA10" i="31"/>
  <c r="U3" i="31"/>
  <c r="B23" i="2"/>
  <c r="CP5" i="31"/>
  <c r="F20" i="39"/>
  <c r="BL3" i="2"/>
  <c r="CG5" i="31"/>
  <c r="GT11" i="31"/>
  <c r="AB4" i="2"/>
  <c r="F8" i="39"/>
  <c r="AN33" i="2"/>
  <c r="W22" i="31"/>
  <c r="AN29" i="2"/>
  <c r="L6" i="31"/>
  <c r="GK5" i="31"/>
  <c r="BA13" i="31"/>
  <c r="EN14" i="31"/>
  <c r="FT19" i="31"/>
  <c r="AP12" i="2"/>
  <c r="EM14" i="31"/>
  <c r="C5" i="31"/>
  <c r="CH10" i="31"/>
  <c r="D26" i="2"/>
  <c r="F22" i="39"/>
  <c r="AN32" i="2"/>
  <c r="C19" i="2"/>
  <c r="AO33" i="2"/>
  <c r="FP4" i="31"/>
  <c r="N4" i="2"/>
  <c r="P6" i="2"/>
  <c r="X20" i="31"/>
  <c r="AY5" i="31"/>
  <c r="P10" i="2"/>
  <c r="AO23" i="2"/>
  <c r="X13" i="31"/>
  <c r="X43" i="31"/>
  <c r="AM8" i="2"/>
  <c r="X6" i="31"/>
  <c r="AP36" i="2"/>
  <c r="EL12" i="31"/>
  <c r="BL5" i="31"/>
  <c r="BO4" i="2"/>
  <c r="FV28" i="31"/>
  <c r="DS13" i="31"/>
  <c r="AE16" i="2"/>
  <c r="DJ12" i="31"/>
  <c r="BG9" i="2"/>
  <c r="DK12" i="31"/>
  <c r="BN4" i="2"/>
  <c r="B26" i="2"/>
  <c r="V14" i="31"/>
  <c r="R13" i="2"/>
  <c r="O9" i="2"/>
  <c r="AB17" i="2"/>
  <c r="AP18" i="2"/>
  <c r="GR12" i="31"/>
  <c r="DR5" i="31"/>
  <c r="N29" i="2"/>
  <c r="DS4" i="31"/>
  <c r="AO26" i="2"/>
  <c r="CD5" i="31"/>
  <c r="CQ4" i="31"/>
  <c r="DQ6" i="31"/>
  <c r="V34" i="31"/>
  <c r="B19" i="2"/>
  <c r="O5" i="31"/>
  <c r="N10" i="31"/>
  <c r="FX7" i="31"/>
  <c r="DR13" i="31"/>
  <c r="AE14" i="2"/>
  <c r="W41" i="31"/>
  <c r="AC23" i="2"/>
  <c r="EE4" i="31"/>
  <c r="W8" i="31"/>
  <c r="AN27" i="2"/>
  <c r="GI12" i="31"/>
  <c r="GK4" i="31"/>
  <c r="DL4" i="31"/>
  <c r="DU6" i="31"/>
  <c r="R11" i="2"/>
  <c r="O7" i="2"/>
  <c r="M6" i="31"/>
  <c r="B4" i="2"/>
  <c r="CB5" i="31"/>
  <c r="O3" i="31"/>
  <c r="AS13" i="31"/>
  <c r="GP4" i="31"/>
  <c r="FO4" i="31"/>
  <c r="CJ6" i="31"/>
  <c r="FW4" i="31"/>
  <c r="B12" i="31"/>
  <c r="EE5" i="31"/>
  <c r="D16" i="31"/>
  <c r="AP32" i="2"/>
  <c r="CY17" i="31"/>
  <c r="Q10" i="2"/>
  <c r="X36" i="31"/>
  <c r="AB19" i="2"/>
  <c r="C4" i="2"/>
  <c r="CV13" i="31"/>
  <c r="CP3" i="31"/>
  <c r="CA4" i="31"/>
  <c r="AQ32" i="2"/>
  <c r="AD16" i="2"/>
  <c r="EL10" i="31"/>
  <c r="AD23" i="2"/>
  <c r="FW6" i="31"/>
  <c r="R9" i="2"/>
  <c r="AO6" i="31"/>
  <c r="GK11" i="31"/>
  <c r="P3" i="2"/>
  <c r="AQ18" i="2"/>
  <c r="GS11" i="31"/>
  <c r="AB10" i="2"/>
  <c r="GT15" i="31"/>
  <c r="DS17" i="31"/>
  <c r="W33" i="31"/>
  <c r="D11" i="2"/>
  <c r="EO4" i="31"/>
  <c r="F7" i="39"/>
  <c r="CX17" i="31"/>
  <c r="GL4" i="31"/>
  <c r="O3" i="2"/>
  <c r="CW19" i="31"/>
  <c r="A4" i="31"/>
  <c r="GI14" i="31"/>
  <c r="AA22" i="2"/>
  <c r="AB25" i="2"/>
  <c r="B5" i="31"/>
  <c r="AN14" i="2"/>
  <c r="AC7" i="2"/>
  <c r="AP21" i="2"/>
  <c r="CV16" i="31"/>
  <c r="W21" i="31"/>
  <c r="E22" i="2"/>
  <c r="Q27" i="2"/>
  <c r="CF4" i="31"/>
  <c r="E18" i="39"/>
  <c r="AQ9" i="2"/>
  <c r="FX26" i="31"/>
  <c r="E8" i="2"/>
  <c r="FQ14" i="31"/>
  <c r="AN36" i="2"/>
  <c r="FV9" i="31"/>
  <c r="U6" i="31"/>
  <c r="AQ8" i="2"/>
  <c r="U15" i="31"/>
  <c r="O11" i="2"/>
  <c r="CR4" i="31"/>
  <c r="N23" i="2"/>
  <c r="GR10" i="31"/>
  <c r="V6" i="31"/>
  <c r="CO5" i="31"/>
  <c r="BL9" i="31"/>
  <c r="W5" i="31"/>
  <c r="BA16" i="31"/>
  <c r="K15" i="31"/>
  <c r="CW16" i="31"/>
  <c r="O12" i="2"/>
  <c r="W11" i="31"/>
  <c r="E17" i="2"/>
  <c r="EM3" i="31"/>
  <c r="DM12" i="31"/>
  <c r="DQ17" i="31"/>
  <c r="GR7" i="31"/>
  <c r="AE17" i="2"/>
  <c r="B13" i="31"/>
  <c r="BN9" i="2"/>
  <c r="N16" i="31"/>
  <c r="AP13" i="2"/>
  <c r="AC26" i="2"/>
  <c r="FU22" i="31"/>
  <c r="P21" i="2"/>
  <c r="D19" i="2"/>
  <c r="BM9" i="2"/>
  <c r="EO6" i="31"/>
  <c r="R27" i="2"/>
  <c r="X8" i="31"/>
  <c r="GS6" i="31"/>
  <c r="DT18" i="31"/>
  <c r="AZ12" i="31"/>
  <c r="CW12" i="31"/>
  <c r="CB4" i="31"/>
  <c r="AD9" i="2"/>
  <c r="DS18" i="31"/>
  <c r="FV6" i="31"/>
  <c r="GR6" i="31"/>
  <c r="CY7" i="31"/>
  <c r="BF5" i="2"/>
  <c r="W13" i="31"/>
  <c r="CY19" i="31"/>
  <c r="AX5" i="31"/>
  <c r="AQ23" i="2"/>
  <c r="CW3" i="31"/>
  <c r="Y36" i="31"/>
  <c r="F21" i="39"/>
  <c r="CR10" i="31"/>
  <c r="DR18" i="31"/>
  <c r="CX7" i="31"/>
  <c r="Q30" i="2"/>
  <c r="AP14" i="2"/>
  <c r="AS4" i="31"/>
  <c r="GK14" i="31"/>
  <c r="U14" i="31"/>
  <c r="DT7" i="31"/>
  <c r="E7" i="31"/>
  <c r="AO14" i="2"/>
  <c r="B8" i="2"/>
  <c r="AO15" i="2"/>
  <c r="DS8" i="31"/>
  <c r="AY12" i="31"/>
  <c r="CH4" i="31"/>
  <c r="CX3" i="31"/>
  <c r="FW20" i="31"/>
  <c r="GL6" i="31"/>
  <c r="CH3" i="31"/>
  <c r="V13" i="31"/>
  <c r="AX7" i="31"/>
  <c r="GR3" i="31"/>
  <c r="AE8" i="2"/>
  <c r="W12" i="31"/>
  <c r="AR6" i="31"/>
  <c r="DK5" i="31"/>
  <c r="Q18" i="2"/>
  <c r="GM4" i="31"/>
  <c r="W31" i="31"/>
  <c r="Y30" i="31"/>
  <c r="GH11" i="31"/>
  <c r="AO35" i="2"/>
  <c r="GQ14" i="31"/>
  <c r="FU5" i="31"/>
  <c r="R18" i="2"/>
  <c r="B3" i="31"/>
  <c r="EK14" i="31"/>
  <c r="AQ24" i="2"/>
  <c r="AN20" i="2"/>
  <c r="N8" i="2"/>
  <c r="DL7" i="31"/>
  <c r="CI12" i="31"/>
  <c r="S23" i="2"/>
  <c r="DU13" i="31"/>
  <c r="D5" i="2"/>
  <c r="W9" i="31"/>
  <c r="DU3" i="31"/>
  <c r="AP6" i="2"/>
  <c r="R32" i="2"/>
  <c r="GH6" i="31"/>
  <c r="BJ3" i="31"/>
  <c r="CY8" i="31"/>
  <c r="A6" i="31"/>
  <c r="AP5" i="2"/>
  <c r="X33" i="31"/>
  <c r="D7" i="31"/>
  <c r="AA16" i="2"/>
  <c r="EG8" i="31"/>
  <c r="C23" i="2"/>
  <c r="AP7" i="2"/>
  <c r="EO15" i="31"/>
  <c r="E26" i="39"/>
  <c r="FW25" i="31"/>
  <c r="AN5" i="2"/>
  <c r="Y37" i="31"/>
  <c r="B25" i="2"/>
  <c r="CH15" i="31"/>
  <c r="D15" i="31"/>
  <c r="E14" i="2"/>
  <c r="DT8" i="31"/>
  <c r="AQ12" i="31"/>
  <c r="GR11" i="31"/>
  <c r="GI11" i="31"/>
  <c r="GR15" i="31"/>
  <c r="BD3" i="2"/>
  <c r="FV10" i="31"/>
  <c r="AZ7" i="31"/>
  <c r="W19" i="31"/>
  <c r="V33" i="31"/>
  <c r="CI11" i="31"/>
  <c r="DI6" i="31"/>
  <c r="V7" i="31"/>
  <c r="AO7" i="2"/>
  <c r="DR14" i="31"/>
  <c r="BG4" i="2"/>
  <c r="CG7" i="31"/>
  <c r="AD5" i="2"/>
  <c r="AP33" i="2"/>
  <c r="C10" i="2"/>
  <c r="X29" i="31"/>
  <c r="F19" i="39"/>
  <c r="CG14" i="31"/>
  <c r="GL10" i="31"/>
  <c r="CV9" i="31"/>
  <c r="C25" i="2"/>
  <c r="FW10" i="31"/>
  <c r="DU8" i="31"/>
  <c r="W3" i="31"/>
  <c r="AR10" i="31"/>
  <c r="AB5" i="2"/>
  <c r="AE6" i="2"/>
  <c r="F3" i="39"/>
  <c r="CW6" i="31"/>
  <c r="CB3" i="31"/>
  <c r="O13" i="2"/>
  <c r="AQ21" i="2"/>
  <c r="W42" i="31"/>
  <c r="C3" i="31"/>
  <c r="BE3" i="2"/>
  <c r="AA19" i="2"/>
  <c r="V38" i="31"/>
  <c r="A10" i="2"/>
  <c r="AC6" i="2"/>
  <c r="AP11" i="2"/>
  <c r="BA10" i="31"/>
  <c r="FT6" i="31"/>
  <c r="L5" i="31"/>
  <c r="GR14" i="31"/>
  <c r="C6" i="2"/>
  <c r="V37" i="31"/>
  <c r="AE3" i="2"/>
  <c r="L13" i="31"/>
  <c r="AQ10" i="31"/>
  <c r="V28" i="31"/>
  <c r="C9" i="2"/>
  <c r="FN14" i="31"/>
  <c r="X12" i="31"/>
  <c r="GS3" i="31"/>
  <c r="AN11" i="2"/>
  <c r="DK10" i="31"/>
  <c r="AA25" i="2"/>
  <c r="GL3" i="31"/>
  <c r="CC5" i="31"/>
  <c r="Q3" i="2"/>
  <c r="CW14" i="31"/>
  <c r="E4" i="2"/>
  <c r="FP5" i="31"/>
  <c r="GN4" i="31"/>
  <c r="FU11" i="31"/>
  <c r="X35" i="31"/>
  <c r="AM29" i="2"/>
  <c r="BI5" i="31"/>
  <c r="E9" i="39"/>
  <c r="AN24" i="2"/>
  <c r="CJ3" i="31"/>
  <c r="AD11" i="2"/>
  <c r="W4" i="31"/>
  <c r="BI9" i="31"/>
  <c r="FV8" i="31"/>
  <c r="CJ15" i="31"/>
  <c r="FW29" i="31"/>
  <c r="GT10" i="31"/>
  <c r="L3" i="31"/>
  <c r="V43" i="31"/>
  <c r="P9" i="2"/>
  <c r="Q5" i="2"/>
  <c r="DU4" i="31"/>
  <c r="CY20" i="31"/>
  <c r="AE5" i="2"/>
  <c r="BK4" i="31"/>
  <c r="AQ36" i="2"/>
  <c r="X31" i="31"/>
  <c r="V17" i="31"/>
  <c r="AY4" i="31"/>
  <c r="P11" i="2"/>
  <c r="AE7" i="2"/>
  <c r="AQ5" i="2"/>
  <c r="AR7" i="31"/>
  <c r="P32" i="2"/>
  <c r="CY9" i="31"/>
  <c r="AQ4" i="2"/>
  <c r="P18" i="2"/>
  <c r="A12" i="31"/>
  <c r="AP16" i="31"/>
  <c r="CX13" i="31"/>
  <c r="U12" i="31"/>
  <c r="Y28" i="31"/>
  <c r="S10" i="31"/>
  <c r="AD25" i="2"/>
  <c r="E9" i="2"/>
  <c r="AP10" i="2"/>
  <c r="GT12" i="31"/>
  <c r="DM5" i="31"/>
  <c r="CJ4" i="31"/>
  <c r="AM6" i="2"/>
  <c r="M4" i="31"/>
  <c r="W6" i="31"/>
  <c r="FO14" i="31"/>
  <c r="FQ4" i="31"/>
  <c r="AO3" i="2"/>
  <c r="V26" i="31"/>
  <c r="DK3" i="31"/>
  <c r="X10" i="31"/>
  <c r="AB11" i="2"/>
  <c r="GI6" i="31"/>
  <c r="BI4" i="31"/>
  <c r="M15" i="31"/>
  <c r="DL15" i="31"/>
  <c r="FQ5" i="31"/>
  <c r="V3" i="31"/>
  <c r="FQ6" i="31"/>
  <c r="EE3" i="31"/>
  <c r="DT13" i="31"/>
  <c r="Q7" i="2"/>
  <c r="U7" i="31"/>
  <c r="CG15" i="31"/>
  <c r="FP10" i="31"/>
  <c r="AE26" i="2"/>
  <c r="GQ6" i="31"/>
  <c r="X7" i="31"/>
  <c r="BA12" i="31"/>
  <c r="O15" i="31"/>
  <c r="AN9" i="2"/>
  <c r="J20" i="39" l="1"/>
  <c r="L20" i="39"/>
  <c r="H20" i="39"/>
  <c r="H21" i="39"/>
  <c r="J21" i="39"/>
  <c r="L21" i="39"/>
  <c r="J17" i="39"/>
  <c r="L17" i="39"/>
  <c r="H17" i="39"/>
  <c r="J19" i="39"/>
  <c r="L19" i="39"/>
  <c r="H19" i="39"/>
  <c r="J10" i="39"/>
  <c r="L10" i="39"/>
  <c r="H10" i="39"/>
  <c r="H11" i="39"/>
  <c r="J11" i="39"/>
  <c r="L11" i="39"/>
  <c r="L12" i="39"/>
  <c r="H12" i="39"/>
  <c r="J12" i="39"/>
  <c r="H22" i="39"/>
  <c r="J22" i="39"/>
  <c r="L22" i="39"/>
  <c r="H23" i="39"/>
  <c r="J23" i="39"/>
  <c r="L23" i="39"/>
  <c r="H4" i="39"/>
  <c r="J4" i="39"/>
  <c r="L4" i="39"/>
  <c r="H9" i="39"/>
  <c r="J9" i="39"/>
  <c r="L9" i="39"/>
  <c r="H7" i="39"/>
  <c r="J7" i="39"/>
  <c r="L7" i="39"/>
  <c r="L26" i="39"/>
  <c r="H26" i="39"/>
  <c r="J26" i="39"/>
  <c r="H15" i="39"/>
  <c r="J15" i="39"/>
  <c r="L15" i="39"/>
  <c r="L14" i="39"/>
  <c r="H14" i="39"/>
  <c r="J14" i="39"/>
  <c r="H25" i="39"/>
  <c r="J25" i="39"/>
  <c r="L25" i="39"/>
  <c r="L6" i="39"/>
  <c r="H6" i="39"/>
  <c r="J6" i="39"/>
  <c r="H5" i="39"/>
  <c r="J5" i="39"/>
  <c r="L5" i="39"/>
  <c r="L13" i="39"/>
  <c r="J13" i="39"/>
  <c r="H13" i="39"/>
  <c r="H2" i="39"/>
  <c r="J2" i="39"/>
  <c r="L2" i="39"/>
  <c r="L8" i="39"/>
  <c r="H8" i="39"/>
  <c r="J8" i="39"/>
  <c r="H16" i="39"/>
  <c r="L16" i="39"/>
  <c r="J16" i="39"/>
  <c r="L24" i="39"/>
  <c r="J24" i="39"/>
  <c r="H24" i="39"/>
  <c r="O20" i="39"/>
  <c r="Q20" i="39"/>
  <c r="M20" i="39"/>
  <c r="M21" i="39"/>
  <c r="O21" i="39"/>
  <c r="Q21" i="39"/>
  <c r="O17" i="39"/>
  <c r="Q17" i="39"/>
  <c r="M17" i="39"/>
  <c r="O19" i="39"/>
  <c r="Q19" i="39"/>
  <c r="M19" i="39"/>
  <c r="O10" i="39"/>
  <c r="Q10" i="39"/>
  <c r="M10" i="39"/>
  <c r="M11" i="39"/>
  <c r="O11" i="39"/>
  <c r="Q11" i="39"/>
  <c r="Q12" i="39"/>
  <c r="M12" i="39"/>
  <c r="O12" i="39"/>
  <c r="M22" i="39"/>
  <c r="O22" i="39"/>
  <c r="Q22" i="39"/>
  <c r="O23" i="39"/>
  <c r="Q23" i="39"/>
  <c r="M23" i="39"/>
  <c r="M4" i="39"/>
  <c r="O4" i="39"/>
  <c r="Q4" i="39"/>
  <c r="M9" i="39"/>
  <c r="O9" i="39"/>
  <c r="Q9" i="39"/>
  <c r="M7" i="39"/>
  <c r="O7" i="39"/>
  <c r="Q7" i="39"/>
  <c r="Q26" i="39"/>
  <c r="M26" i="39"/>
  <c r="O26" i="39"/>
  <c r="M15" i="39"/>
  <c r="O15" i="39"/>
  <c r="Q15" i="39"/>
  <c r="Q14" i="39"/>
  <c r="M14" i="39"/>
  <c r="O14" i="39"/>
  <c r="M25" i="39"/>
  <c r="O25" i="39"/>
  <c r="Q25" i="39"/>
  <c r="Q6" i="39"/>
  <c r="M6" i="39"/>
  <c r="O6" i="39"/>
  <c r="M5" i="39"/>
  <c r="O5" i="39"/>
  <c r="Q5" i="39"/>
  <c r="Q13" i="39"/>
  <c r="O13" i="39"/>
  <c r="M13" i="39"/>
  <c r="M2" i="39"/>
  <c r="O2" i="39"/>
  <c r="Q2" i="39"/>
  <c r="Q8" i="39"/>
  <c r="M8" i="39"/>
  <c r="O8" i="39"/>
  <c r="Q16" i="39"/>
  <c r="M16" i="39"/>
  <c r="O16" i="39"/>
  <c r="Q24" i="39"/>
  <c r="O24" i="39"/>
  <c r="M24" i="39"/>
  <c r="T20" i="39"/>
  <c r="V20" i="39"/>
  <c r="R20" i="39"/>
  <c r="R21" i="39"/>
  <c r="T21" i="39"/>
  <c r="V21" i="39"/>
  <c r="T17" i="39"/>
  <c r="V17" i="39"/>
  <c r="R17" i="39"/>
  <c r="T19" i="39"/>
  <c r="V19" i="39"/>
  <c r="R19" i="39"/>
  <c r="T10" i="39"/>
  <c r="V10" i="39"/>
  <c r="R10" i="39"/>
  <c r="R11" i="39"/>
  <c r="T11" i="39"/>
  <c r="V11" i="39"/>
  <c r="V12" i="39"/>
  <c r="R12" i="39"/>
  <c r="T12" i="39"/>
  <c r="R22" i="39"/>
  <c r="T22" i="39"/>
  <c r="V22" i="39"/>
  <c r="T23" i="39"/>
  <c r="V23" i="39"/>
  <c r="R23" i="39"/>
  <c r="R4" i="39"/>
  <c r="T4" i="39"/>
  <c r="V4" i="39"/>
  <c r="T9" i="39"/>
  <c r="V9" i="39"/>
  <c r="R9" i="39"/>
  <c r="R7" i="39"/>
  <c r="T7" i="39"/>
  <c r="V7" i="39"/>
  <c r="R26" i="39"/>
  <c r="T26" i="39"/>
  <c r="V26" i="39"/>
  <c r="R15" i="39"/>
  <c r="T15" i="39"/>
  <c r="V15" i="39"/>
  <c r="V14" i="39"/>
  <c r="T14" i="39"/>
  <c r="R14" i="39"/>
  <c r="R25" i="39"/>
  <c r="T25" i="39"/>
  <c r="V25" i="39"/>
  <c r="V6" i="39"/>
  <c r="R6" i="39"/>
  <c r="T6" i="39"/>
  <c r="R5" i="39"/>
  <c r="T5" i="39"/>
  <c r="V5" i="39"/>
  <c r="V13" i="39"/>
  <c r="R13" i="39"/>
  <c r="T13" i="39"/>
  <c r="R2" i="39"/>
  <c r="T2" i="39"/>
  <c r="V2" i="39"/>
  <c r="V8" i="39"/>
  <c r="R8" i="39"/>
  <c r="T8" i="39"/>
  <c r="R16" i="39"/>
  <c r="V16" i="39"/>
  <c r="T16" i="39"/>
  <c r="V24" i="39"/>
  <c r="T24" i="39"/>
  <c r="R24" i="39"/>
  <c r="Q3" i="39"/>
  <c r="O3" i="39"/>
  <c r="L3" i="39"/>
  <c r="V3" i="39"/>
  <c r="T3" i="39"/>
  <c r="R3" i="39"/>
  <c r="J3" i="39"/>
  <c r="M3" i="39"/>
  <c r="H3" i="39"/>
  <c r="AO25" i="2"/>
  <c r="AP37" i="2"/>
  <c r="CG16" i="31"/>
  <c r="CG13" i="31"/>
  <c r="E17" i="31"/>
  <c r="BA17" i="31"/>
  <c r="AN25" i="2"/>
  <c r="AS21" i="2"/>
  <c r="AQ14" i="31"/>
  <c r="O23" i="2"/>
  <c r="AC24" i="2"/>
  <c r="E14" i="31"/>
  <c r="CV15" i="31"/>
  <c r="EN13" i="31"/>
  <c r="CI13" i="31"/>
  <c r="AE28" i="31"/>
  <c r="AE27" i="31"/>
  <c r="AN28" i="2"/>
  <c r="D21" i="2"/>
  <c r="S34" i="2"/>
  <c r="AP31" i="2"/>
  <c r="AD18" i="2"/>
  <c r="Q22" i="2"/>
  <c r="AN37" i="2"/>
  <c r="E21" i="2"/>
  <c r="P34" i="2"/>
  <c r="BA14" i="31"/>
  <c r="GK16" i="31"/>
  <c r="FX30" i="31"/>
  <c r="DT19" i="31"/>
  <c r="FU24" i="31"/>
  <c r="DT16" i="31"/>
  <c r="AQ17" i="31"/>
  <c r="CI16" i="31"/>
  <c r="DR16" i="31"/>
  <c r="Q28" i="2"/>
  <c r="AD21" i="2"/>
  <c r="AB21" i="2"/>
  <c r="D17" i="31"/>
  <c r="O17" i="31"/>
  <c r="AE18" i="2"/>
  <c r="AO28" i="2"/>
  <c r="DR22" i="31"/>
  <c r="E24" i="2"/>
  <c r="AZ14" i="31"/>
  <c r="DS16" i="31"/>
  <c r="D24" i="2"/>
  <c r="R31" i="2"/>
  <c r="GI13" i="31"/>
  <c r="AY14" i="31"/>
  <c r="AP34" i="2"/>
  <c r="P25" i="2"/>
  <c r="AP25" i="2"/>
  <c r="AO22" i="2"/>
  <c r="CV18" i="31"/>
  <c r="DU19" i="31"/>
  <c r="R28" i="2"/>
  <c r="DT22" i="31"/>
  <c r="CJ13" i="31"/>
  <c r="S31" i="2"/>
  <c r="R25" i="2"/>
  <c r="D18" i="2"/>
  <c r="B21" i="2"/>
  <c r="B27" i="2"/>
  <c r="FV30" i="31"/>
  <c r="O29" i="2"/>
  <c r="AP17" i="31"/>
  <c r="D27" i="2"/>
  <c r="AQ37" i="2"/>
  <c r="AP22" i="2"/>
  <c r="DJ13" i="31"/>
  <c r="CV21" i="31"/>
  <c r="CY15" i="31"/>
  <c r="AB18" i="2"/>
  <c r="CX21" i="31"/>
  <c r="CW15" i="31"/>
  <c r="AR17" i="31"/>
  <c r="DU16" i="31"/>
  <c r="O26" i="2"/>
  <c r="GQ13" i="31"/>
  <c r="FX21" i="31"/>
  <c r="GS13" i="31"/>
  <c r="O20" i="2"/>
  <c r="AQ25" i="2"/>
  <c r="AQ22" i="2"/>
  <c r="DK16" i="31"/>
  <c r="AP28" i="2"/>
  <c r="AC27" i="2"/>
  <c r="AX14" i="31"/>
  <c r="R22" i="2"/>
  <c r="AS14" i="31"/>
  <c r="AO34" i="2"/>
  <c r="S28" i="2"/>
  <c r="FX24" i="31"/>
  <c r="EM13" i="31"/>
  <c r="FO16" i="31"/>
  <c r="Q25" i="2"/>
  <c r="AB27" i="2"/>
  <c r="DR19" i="31"/>
  <c r="P22" i="2"/>
  <c r="C21" i="2"/>
  <c r="C24" i="2"/>
  <c r="R34" i="2"/>
  <c r="DS22" i="31"/>
  <c r="DL16" i="31"/>
  <c r="CY21" i="31"/>
  <c r="O32" i="2"/>
  <c r="CW21" i="31"/>
  <c r="AO31" i="2"/>
  <c r="CW18" i="31"/>
  <c r="E27" i="2"/>
  <c r="EO16" i="31"/>
  <c r="GL13" i="31"/>
  <c r="E18" i="2"/>
  <c r="AQ28" i="2"/>
  <c r="AR14" i="31"/>
  <c r="B17" i="31"/>
  <c r="AP14" i="31"/>
  <c r="C17" i="31"/>
  <c r="AD27" i="2"/>
  <c r="D14" i="31"/>
  <c r="DS19" i="31"/>
  <c r="GS16" i="31"/>
  <c r="O14" i="31"/>
  <c r="M14" i="31"/>
  <c r="FV21" i="31"/>
  <c r="AB27" i="31"/>
  <c r="AB28" i="31"/>
  <c r="GJ16" i="31"/>
  <c r="FU30" i="31"/>
  <c r="AD27" i="31"/>
  <c r="AD28" i="31"/>
  <c r="FV27" i="31"/>
  <c r="FR13" i="31"/>
  <c r="AC27" i="31"/>
  <c r="AC28" i="31"/>
  <c r="DU22" i="31"/>
  <c r="P28" i="2"/>
  <c r="P31" i="2"/>
  <c r="AE27" i="2"/>
  <c r="GQ16" i="31"/>
  <c r="FW27" i="31"/>
  <c r="FQ16" i="31"/>
  <c r="FX27" i="31"/>
  <c r="GL16" i="31"/>
  <c r="AX17" i="31"/>
  <c r="C27" i="2"/>
  <c r="AN34" i="2"/>
  <c r="B24" i="2"/>
  <c r="CH13" i="31"/>
  <c r="AZ17" i="31"/>
  <c r="DL13" i="31"/>
  <c r="CH16" i="31"/>
  <c r="B18" i="2"/>
  <c r="AE21" i="2"/>
  <c r="DK13" i="31"/>
  <c r="Q34" i="2"/>
  <c r="GJ13" i="31"/>
  <c r="EN16" i="31"/>
  <c r="N17" i="31"/>
  <c r="FP13" i="31"/>
  <c r="L17" i="31"/>
  <c r="FU21" i="31"/>
  <c r="FV24" i="31"/>
  <c r="GR13" i="31"/>
  <c r="AN31" i="2"/>
  <c r="AD24" i="2"/>
  <c r="CX15" i="31"/>
  <c r="AC18" i="2"/>
  <c r="DM16" i="31"/>
  <c r="CY18" i="31"/>
  <c r="AE24" i="2"/>
  <c r="AQ31" i="2"/>
  <c r="CX18" i="31"/>
  <c r="AB24" i="2"/>
  <c r="AY17" i="31"/>
  <c r="AC21" i="2"/>
  <c r="AO37" i="2"/>
  <c r="DJ16" i="31"/>
  <c r="AS17" i="31"/>
  <c r="CJ16" i="31"/>
  <c r="L14" i="31"/>
  <c r="FW21" i="31"/>
  <c r="FP16" i="31"/>
  <c r="EL13" i="31"/>
  <c r="EO13" i="31"/>
  <c r="GI16" i="31"/>
  <c r="GT16" i="31"/>
  <c r="FW24" i="31"/>
  <c r="FW30" i="31"/>
  <c r="EM16" i="31"/>
  <c r="FR16" i="31"/>
  <c r="EL16" i="31"/>
  <c r="DM13" i="31"/>
  <c r="AQ34" i="2"/>
  <c r="S25" i="2"/>
  <c r="C14" i="31"/>
  <c r="B14" i="31"/>
  <c r="C18" i="2"/>
  <c r="S22" i="2"/>
  <c r="AN22" i="2"/>
  <c r="AS20" i="2"/>
  <c r="Q31" i="2"/>
  <c r="GK13" i="31"/>
  <c r="FQ13" i="31"/>
  <c r="M17" i="31"/>
  <c r="GT13" i="31"/>
  <c r="FU27" i="31"/>
  <c r="FO13" i="31"/>
  <c r="GR16" i="31"/>
  <c r="N14" i="31"/>
</calcChain>
</file>

<file path=xl/sharedStrings.xml><?xml version="1.0" encoding="utf-8"?>
<sst xmlns="http://schemas.openxmlformats.org/spreadsheetml/2006/main" count="6649" uniqueCount="314">
  <si>
    <t>STEP3-Covariate-Proportional-ML 4-Cluster Model</t>
  </si>
  <si>
    <t>Number of cases</t>
  </si>
  <si>
    <t>Number of parameters (Npar)</t>
  </si>
  <si>
    <t>Design Effect</t>
  </si>
  <si>
    <t>Robustness Effect</t>
  </si>
  <si>
    <t>Random Seed</t>
  </si>
  <si>
    <t>Best Start Seed</t>
  </si>
  <si>
    <t>Chi-squared Statistics</t>
  </si>
  <si>
    <t>Degrees of freedom (df)</t>
  </si>
  <si>
    <t>p-value</t>
  </si>
  <si>
    <t>L-squared (L²)</t>
  </si>
  <si>
    <t>.</t>
  </si>
  <si>
    <t>X-squared</t>
  </si>
  <si>
    <t>Cressie-Read</t>
  </si>
  <si>
    <t>BIC (based on L²)</t>
  </si>
  <si>
    <t>AIC (based on L²)</t>
  </si>
  <si>
    <t>AIC3 (based on L²)</t>
  </si>
  <si>
    <t>CAIC (based on L²)</t>
  </si>
  <si>
    <t>SABIC (based on L²)</t>
  </si>
  <si>
    <t>Dissimilarity Index</t>
  </si>
  <si>
    <t>Log-likelihood Statistics</t>
  </si>
  <si>
    <t>Log-likelihood (LL)</t>
  </si>
  <si>
    <t>Log-prior</t>
  </si>
  <si>
    <t>Log-posterior</t>
  </si>
  <si>
    <t>BIC (based on LL)</t>
  </si>
  <si>
    <t>AIC (based on LL)</t>
  </si>
  <si>
    <t>AIC3 (based on LL)</t>
  </si>
  <si>
    <t>CAIC (based on LL)</t>
  </si>
  <si>
    <t>SABIC (based on LL)</t>
  </si>
  <si>
    <t>Classification Statistics</t>
  </si>
  <si>
    <t>Classification errors</t>
  </si>
  <si>
    <t>Reduction of errors (Lambda)</t>
  </si>
  <si>
    <t>Entropy R-squared</t>
  </si>
  <si>
    <t>Standard R-squared</t>
  </si>
  <si>
    <t>Classification log-likelihood</t>
  </si>
  <si>
    <t>Entropy</t>
  </si>
  <si>
    <t>CLC</t>
  </si>
  <si>
    <t>AWE</t>
  </si>
  <si>
    <t>ICL-BIC</t>
  </si>
  <si>
    <t>Classification Table</t>
  </si>
  <si>
    <t>Modal</t>
  </si>
  <si>
    <t>Latent</t>
  </si>
  <si>
    <t>Cluster1</t>
  </si>
  <si>
    <t>Cluster2</t>
  </si>
  <si>
    <t>Cluster3</t>
  </si>
  <si>
    <t>Cluster4</t>
  </si>
  <si>
    <t>Total</t>
  </si>
  <si>
    <t>Proportional</t>
  </si>
  <si>
    <t>Covariate Classification Statistics</t>
  </si>
  <si>
    <t>Files</t>
  </si>
  <si>
    <t>Infile</t>
  </si>
  <si>
    <t>O:\FPDEA\Projects\Enforceable Agreements\_Data\supplier_classification_drop empty.sav</t>
  </si>
  <si>
    <t>Options</t>
  </si>
  <si>
    <t>threads</t>
  </si>
  <si>
    <t>algorithm</t>
  </si>
  <si>
    <t>tolerance</t>
  </si>
  <si>
    <t>emtolerance</t>
  </si>
  <si>
    <t>emiterations</t>
  </si>
  <si>
    <t>nriterations</t>
  </si>
  <si>
    <t>startvalues</t>
  </si>
  <si>
    <t>seed</t>
  </si>
  <si>
    <t>sets</t>
  </si>
  <si>
    <t>iterations</t>
  </si>
  <si>
    <t>bayes</t>
  </si>
  <si>
    <t>categorical</t>
  </si>
  <si>
    <t>variances</t>
  </si>
  <si>
    <t>latent</t>
  </si>
  <si>
    <t>poisson</t>
  </si>
  <si>
    <t>quadrature</t>
  </si>
  <si>
    <t>nodes</t>
  </si>
  <si>
    <t>missing</t>
  </si>
  <si>
    <t>excludeall</t>
  </si>
  <si>
    <t>step3</t>
  </si>
  <si>
    <t>classification</t>
  </si>
  <si>
    <t>proportional</t>
  </si>
  <si>
    <t>adjustment</t>
  </si>
  <si>
    <t>ML</t>
  </si>
  <si>
    <t>simultaneous</t>
  </si>
  <si>
    <t>no</t>
  </si>
  <si>
    <t>output</t>
  </si>
  <si>
    <t>parameters</t>
  </si>
  <si>
    <t>effect</t>
  </si>
  <si>
    <t>standard errors</t>
  </si>
  <si>
    <t>robust</t>
  </si>
  <si>
    <t>sample size BIC</t>
  </si>
  <si>
    <t>predictionstatistics</t>
  </si>
  <si>
    <t>Variable Detail</t>
  </si>
  <si>
    <t>Posteriors</t>
  </si>
  <si>
    <t>clu_1</t>
  </si>
  <si>
    <t>...</t>
  </si>
  <si>
    <t>clu_2</t>
  </si>
  <si>
    <t>clu_3</t>
  </si>
  <si>
    <t>clu_4</t>
  </si>
  <si>
    <t>1 Covariates</t>
  </si>
  <si>
    <t>a1</t>
  </si>
  <si>
    <t>Nominal</t>
  </si>
  <si>
    <t>Argentina</t>
  </si>
  <si>
    <t>Bolivia</t>
  </si>
  <si>
    <t>Ecuador</t>
  </si>
  <si>
    <t>Paraguay</t>
  </si>
  <si>
    <t>Peru</t>
  </si>
  <si>
    <t>Uruguay</t>
  </si>
  <si>
    <t>Parameters</t>
  </si>
  <si>
    <t>Model for Classes</t>
  </si>
  <si>
    <t>Intercept</t>
  </si>
  <si>
    <t>s.e.</t>
  </si>
  <si>
    <t>Wald</t>
  </si>
  <si>
    <t>Covariates</t>
  </si>
  <si>
    <t>Paired Comparisons</t>
  </si>
  <si>
    <t>df</t>
  </si>
  <si>
    <t>Cluster</t>
  </si>
  <si>
    <t>Profile</t>
  </si>
  <si>
    <t>Cluster Size</t>
  </si>
  <si>
    <t>ProbMeans</t>
  </si>
  <si>
    <t>Overall</t>
  </si>
  <si>
    <t>EstimatedValues-Model</t>
  </si>
  <si>
    <t>Cluster_Proportional</t>
  </si>
  <si>
    <t>a1 results</t>
  </si>
  <si>
    <t>(coef)</t>
  </si>
  <si>
    <t>(s.e)</t>
  </si>
  <si>
    <t>Estimated Values</t>
  </si>
  <si>
    <t>source cell:</t>
  </si>
  <si>
    <t>covariate a1 - L² = -0.0000</t>
  </si>
  <si>
    <t>z-value</t>
  </si>
  <si>
    <t>(z-value)</t>
  </si>
  <si>
    <t>Model4 - L² = 1189.8805</t>
  </si>
  <si>
    <t>adj_ASCd7</t>
  </si>
  <si>
    <t>Num-Fixed</t>
  </si>
  <si>
    <t>22 - 26</t>
  </si>
  <si>
    <t>27 - 35</t>
  </si>
  <si>
    <t>36 - 36</t>
  </si>
  <si>
    <t>Mean</t>
  </si>
  <si>
    <t>ASCd7</t>
  </si>
  <si>
    <t>covariate age continuous - L² = 2363.7135</t>
  </si>
  <si>
    <t>7.1e-342</t>
  </si>
  <si>
    <t>car1</t>
  </si>
  <si>
    <t>17 - 23</t>
  </si>
  <si>
    <t>24 - 36</t>
  </si>
  <si>
    <t>37 - 121</t>
  </si>
  <si>
    <t>Age cont</t>
  </si>
  <si>
    <t>Model1 - L² = -0.0000</t>
  </si>
  <si>
    <t>O:\FPDEA\Projects\Enforceable Agreements\_Data\supplier_classification_drop empty_add h30 h7a.sav</t>
  </si>
  <si>
    <t>h7a</t>
  </si>
  <si>
    <t>Strongly disagree</t>
  </si>
  <si>
    <t>Tend to disagree</t>
  </si>
  <si>
    <t>Tend to agree</t>
  </si>
  <si>
    <t>Strongly agree</t>
  </si>
  <si>
    <t xml:space="preserve">Please tell me if you Strongly disagree, Tend to disagree, Tend to agree, or Strongly agree with the statement: </t>
  </si>
  <si>
    <t>“The court system is fair, impartial and uncorrupted”.</t>
  </si>
  <si>
    <t>Model2 - L² = 0.0000</t>
  </si>
  <si>
    <t>h30</t>
  </si>
  <si>
    <t>No obstacle</t>
  </si>
  <si>
    <t>Minor obstacle</t>
  </si>
  <si>
    <t>Moderate obstacle</t>
  </si>
  <si>
    <t>Major obstacle</t>
  </si>
  <si>
    <t>Very severe obstacle</t>
  </si>
  <si>
    <t>Using the response options on the card; To what degree are the courts an obstacle to the current operations of this establishment?</t>
  </si>
  <si>
    <t>O:\FPDEA\Projects\Enforceable Agreements\_Data\supplier_classification_drop empty_add size cat.sav</t>
  </si>
  <si>
    <t>size4</t>
  </si>
  <si>
    <t>Small (5-19)</t>
  </si>
  <si>
    <t>Medium (20-99)</t>
  </si>
  <si>
    <t>Large (100-399)</t>
  </si>
  <si>
    <t>Very large (400+)</t>
  </si>
  <si>
    <t>1.96 * s.e.</t>
  </si>
  <si>
    <t>O:\FPDEA\Projects\Enforceable Agreements\_Data\supplier_classification_drop empty_add more variables.sav</t>
  </si>
  <si>
    <t>covariate mgmt - L² = 5168.3272</t>
  </si>
  <si>
    <t>1.7e-644</t>
  </si>
  <si>
    <t>1.3e-961</t>
  </si>
  <si>
    <t>8.1e-752</t>
  </si>
  <si>
    <t>mgmt_agg</t>
  </si>
  <si>
    <t>59 - 98</t>
  </si>
  <si>
    <t>99 - 142</t>
  </si>
  <si>
    <t>143 - 191</t>
  </si>
  <si>
    <t>192 - 255</t>
  </si>
  <si>
    <t>Manufacturing</t>
  </si>
  <si>
    <t>covariate tr16 - L² = 0.0000</t>
  </si>
  <si>
    <t>tr16</t>
  </si>
  <si>
    <t>covariate gend4 - L² = 0.0000</t>
  </si>
  <si>
    <t>gend4</t>
  </si>
  <si>
    <t>covariate crime1 - L² = 0.0000</t>
  </si>
  <si>
    <t>crime1</t>
  </si>
  <si>
    <t>covariate sector_3 - L² = 0.0000</t>
  </si>
  <si>
    <t>sector_3</t>
  </si>
  <si>
    <t>Retail</t>
  </si>
  <si>
    <t>Other Services</t>
  </si>
  <si>
    <t>covariate ASCj16 - L² = -0.0000</t>
  </si>
  <si>
    <t>ASCj16</t>
  </si>
  <si>
    <t>Yes</t>
  </si>
  <si>
    <t>No</t>
  </si>
  <si>
    <t>covariate e1 - L² = -0.0000</t>
  </si>
  <si>
    <t>e1</t>
  </si>
  <si>
    <t>Local â€“ main product sold mostly in same municipality wher</t>
  </si>
  <si>
    <t>National â€“ main product sold mostly across the country whe</t>
  </si>
  <si>
    <t>International</t>
  </si>
  <si>
    <t>covariate b7 - L² = 1811.9237</t>
  </si>
  <si>
    <t>1.6e-341</t>
  </si>
  <si>
    <t>b7</t>
  </si>
  <si>
    <t>One year or less</t>
  </si>
  <si>
    <t>14 - 19</t>
  </si>
  <si>
    <t>20 - 26</t>
  </si>
  <si>
    <t>27 - 34</t>
  </si>
  <si>
    <t>35 - 65</t>
  </si>
  <si>
    <t>covariate b4a - L² = 1568.8298</t>
  </si>
  <si>
    <t>b4a</t>
  </si>
  <si>
    <t>21 - 50</t>
  </si>
  <si>
    <t>51 - 90</t>
  </si>
  <si>
    <t>covariate car7 - L² = 0.0000</t>
  </si>
  <si>
    <t>car7</t>
  </si>
  <si>
    <t>covariate b2a - L² = 513.0048</t>
  </si>
  <si>
    <t>b2a</t>
  </si>
  <si>
    <t>52 - 52</t>
  </si>
  <si>
    <t>mgmt</t>
  </si>
  <si>
    <t>Bribery depth (% of public transactions where a gift or informal payment was req</t>
  </si>
  <si>
    <t>Bribery incidence (% of firms experiencing at least one bribe payment request)</t>
  </si>
  <si>
    <t>% Owned By Private Domestic Individuals, Companies Or Organizations</t>
  </si>
  <si>
    <t>Dummy for firms with at least 10% of foreign ownership</t>
  </si>
  <si>
    <t>Dummy for firms paying for security</t>
  </si>
  <si>
    <t>Dummy for firms with a female top manager</t>
  </si>
  <si>
    <t>Dummy for firms exporting directly at least 10% of their sales</t>
  </si>
  <si>
    <t>% Of The Firm Owned By Females</t>
  </si>
  <si>
    <t>How Many Years Of Experience Working In This Sector Does The Top Manager Have?</t>
  </si>
  <si>
    <t>In Last Fy, Main Market For Establishment'S Main Product</t>
  </si>
  <si>
    <t>Currently Belong To An Industry Organization Or Business Association?</t>
  </si>
  <si>
    <t>Manufacturing, Retail, Other Services classification</t>
  </si>
  <si>
    <t>Index for management practices, high means better management</t>
  </si>
  <si>
    <t>covariate graft3 expanded - L² = -0.0000</t>
  </si>
  <si>
    <t>O:\FPDEA\Projects\Enforceable Agreements\_Data\supplier_classification_drop empty_add b7a expand corruption index.sav</t>
  </si>
  <si>
    <t>graft3_expanded</t>
  </si>
  <si>
    <t>covariate graft2 expanded - L² = 553.6869</t>
  </si>
  <si>
    <t>graft2_expanded</t>
  </si>
  <si>
    <t>graft2 exp</t>
  </si>
  <si>
    <t>graft3 exp</t>
  </si>
  <si>
    <t>O:\FPDEA\Projects\Enforceable Agreements\_Data\supplier_classification_drop empty_add a7 and b1.sav</t>
  </si>
  <si>
    <t>covariate lform3 - L² = 0.0000</t>
  </si>
  <si>
    <t>lform3</t>
  </si>
  <si>
    <t>b1</t>
  </si>
  <si>
    <t>Shareholding company with shares trade in the stock market</t>
  </si>
  <si>
    <t>Shareholding company with non-traded shares or shares traded</t>
  </si>
  <si>
    <t>Sole proprietorship</t>
  </si>
  <si>
    <t>Limited partnership</t>
  </si>
  <si>
    <t>covariate a7 - L² = 0.0000</t>
  </si>
  <si>
    <t>a7</t>
  </si>
  <si>
    <t>Is it multi establishment?</t>
  </si>
  <si>
    <t>legal form</t>
  </si>
  <si>
    <t>legal status of Sole Proprietorship</t>
  </si>
  <si>
    <t>Variable</t>
  </si>
  <si>
    <t>Sheet</t>
  </si>
  <si>
    <t>Position</t>
  </si>
  <si>
    <t>age cont</t>
  </si>
  <si>
    <t>Country</t>
  </si>
  <si>
    <t>Share of transactions with suppliers that are smooth</t>
  </si>
  <si>
    <t>Age, continuous</t>
  </si>
  <si>
    <t>"Court is fair"</t>
  </si>
  <si>
    <t>Courts as obstacles</t>
  </si>
  <si>
    <t>Size, 4 categories</t>
  </si>
  <si>
    <t>Description</t>
  </si>
  <si>
    <t>\\Decfile2\decig\FPDEA\Projects\Enforceable Agreements\_Data\supplier_classification_drop empty_add isic business assoc b1.sav</t>
  </si>
  <si>
    <t>ASCj19 - L² = -0.0000</t>
  </si>
  <si>
    <t>ASCj19</t>
  </si>
  <si>
    <t>shareholding - L² = 0.0000</t>
  </si>
  <si>
    <t>shareholding</t>
  </si>
  <si>
    <t>Regularly interact with a business association?</t>
  </si>
  <si>
    <t>Shareholding company</t>
  </si>
  <si>
    <t>isic - L² = 1.0791</t>
  </si>
  <si>
    <t>isic</t>
  </si>
  <si>
    <t>1.2e-665</t>
  </si>
  <si>
    <t>1.5e-563</t>
  </si>
  <si>
    <t>4.1e-485</t>
  </si>
  <si>
    <t>4.6e-601</t>
  </si>
  <si>
    <t>2.9e-1894</t>
  </si>
  <si>
    <t>5.8e-1362</t>
  </si>
  <si>
    <t>1.5e-3664</t>
  </si>
  <si>
    <t>Construction</t>
  </si>
  <si>
    <t>Min</t>
  </si>
  <si>
    <t>Max</t>
  </si>
  <si>
    <t>Food</t>
  </si>
  <si>
    <t>Metals</t>
  </si>
  <si>
    <t>Telecom and IT</t>
  </si>
  <si>
    <t>Textiles and Garments</t>
  </si>
  <si>
    <t>Chemicals, Plastics, Non-metalics</t>
  </si>
  <si>
    <t>Transport</t>
  </si>
  <si>
    <t>Wood and Wood Products</t>
  </si>
  <si>
    <t>Retail, Wholesale, Tourism</t>
  </si>
  <si>
    <t>Machinery and Equipment</t>
  </si>
  <si>
    <t>b1 (drop small categories) - L² = -0.0000</t>
  </si>
  <si>
    <t>Sector</t>
  </si>
  <si>
    <t>Bilateralism</t>
  </si>
  <si>
    <t>Strong comprehensive</t>
  </si>
  <si>
    <t>Bilateralism, private support</t>
  </si>
  <si>
    <t>Bilateralism, legal support</t>
  </si>
  <si>
    <t>B</t>
  </si>
  <si>
    <t>BP</t>
  </si>
  <si>
    <t>BL</t>
  </si>
  <si>
    <t>SC</t>
  </si>
  <si>
    <t>Wald test</t>
  </si>
  <si>
    <t>Non exporter</t>
  </si>
  <si>
    <t>Exporter</t>
  </si>
  <si>
    <t>Domestic owned</t>
  </si>
  <si>
    <t>Foreign owned</t>
  </si>
  <si>
    <t>Chemicals, Plastics, Non-metallics</t>
  </si>
  <si>
    <t>Pure bilateralism</t>
  </si>
  <si>
    <t>standard result 5%</t>
  </si>
  <si>
    <t>test stat for FDR 5%</t>
  </si>
  <si>
    <t>result for FDR 5%</t>
  </si>
  <si>
    <t>test stat for FWER 5%</t>
  </si>
  <si>
    <t>rank</t>
  </si>
  <si>
    <t>standard result 1%</t>
  </si>
  <si>
    <t>test stat for FDR 1%</t>
  </si>
  <si>
    <t>result for FDR 1%</t>
  </si>
  <si>
    <t>test stat for FWER 1%</t>
  </si>
  <si>
    <t>standard result 10%</t>
  </si>
  <si>
    <t>test stat for FDR 10%</t>
  </si>
  <si>
    <t>result for FDR 10%</t>
  </si>
  <si>
    <t>test stat for FWER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</si>
</sst>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1" fontId="3" fillId="0" borderId="1" xfId="0" applyNumberFormat="1" applyFont="1" applyBorder="1" applyAlignment="1">
      <alignment vertical="center" wrapText="1"/>
    </xf>
    <xf numFmtId="11" fontId="4" fillId="0" borderId="1" xfId="0" applyNumberFormat="1" applyFont="1" applyBorder="1" applyAlignment="1">
      <alignment vertical="center" wrapText="1"/>
    </xf>
    <xf numFmtId="0" fontId="1" fillId="0" borderId="0" xfId="0" applyFont="1"/>
    <xf numFmtId="2" fontId="1" fillId="0" borderId="0" xfId="0" applyNumberFormat="1" applyFont="1"/>
    <xf numFmtId="2" fontId="5" fillId="0" borderId="0" xfId="0" applyNumberFormat="1" applyFont="1"/>
    <xf numFmtId="2" fontId="0" fillId="0" borderId="0" xfId="0" applyNumberFormat="1"/>
    <xf numFmtId="16" fontId="4" fillId="0" borderId="1" xfId="0" applyNumberFormat="1" applyFont="1" applyBorder="1" applyAlignment="1">
      <alignment vertical="center" wrapText="1"/>
    </xf>
    <xf numFmtId="17" fontId="4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0" fillId="0" borderId="0" xfId="0" applyFont="1"/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0" xfId="0" applyFont="1" applyFill="1"/>
    <xf numFmtId="0" fontId="0" fillId="3" borderId="0" xfId="0" applyFill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0" xfId="0" applyBorder="1"/>
    <xf numFmtId="165" fontId="0" fillId="0" borderId="0" xfId="0" applyNumberFormat="1" applyBorder="1"/>
    <xf numFmtId="0" fontId="0" fillId="0" borderId="9" xfId="0" applyBorder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FBFBF"/>
      <color rgb="FF929292"/>
      <color rgb="FFBED5B4"/>
      <color rgb="FF568736"/>
      <color rgb="FF68A242"/>
      <color rgb="FF90BB7A"/>
      <color rgb="FF81B464"/>
      <color rgb="FFA1C490"/>
      <color rgb="FFB8D1AD"/>
      <color rgb="FFCED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761628553336906E-2"/>
          <c:y val="4.6267087276550996E-2"/>
          <c:w val="0.90822793559644821"/>
          <c:h val="0.796220803629830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D1a and D6-suppliers'!$AN$19</c:f>
              <c:strCache>
                <c:ptCount val="1"/>
                <c:pt idx="0">
                  <c:v>Pure bilateralism</c:v>
                </c:pt>
              </c:strCache>
            </c:strRef>
          </c:tx>
          <c:spPr>
            <a:solidFill>
              <a:schemeClr val="accent3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D6-suppliers'!$AM$20,'Figure D1a and D6-suppliers'!$AM$23,'Figure D1a and D6-suppliers'!$AM$26,'Figure D1a and D6-suppliers'!$AM$29,'Figure D1a and D6-suppliers'!$AM$32,'Figure D1a and D6-suppliers'!$AM$35)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D1a and D6-suppliers'!$AN$20,'Figure D1a and D6-suppliers'!$AN$23,'Figure D1a and D6-suppliers'!$AN$26,'Figure D1a and D6-suppliers'!$AN$29,'Figure D1a and D6-suppliers'!$AN$32,'Figure D1a and D6-suppliers'!$AN$35)</c:f>
              <c:numCache>
                <c:formatCode>General</c:formatCode>
                <c:ptCount val="6"/>
                <c:pt idx="0">
                  <c:v>0.67079999999999995</c:v>
                </c:pt>
                <c:pt idx="1">
                  <c:v>0.51780000000000004</c:v>
                </c:pt>
                <c:pt idx="2">
                  <c:v>0.64700000000000002</c:v>
                </c:pt>
                <c:pt idx="3">
                  <c:v>0.71379999999999999</c:v>
                </c:pt>
                <c:pt idx="4">
                  <c:v>0.73150000000000004</c:v>
                </c:pt>
                <c:pt idx="5">
                  <c:v>0.6139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9-4EDF-BEC0-11B3F90CF26E}"/>
            </c:ext>
          </c:extLst>
        </c:ser>
        <c:ser>
          <c:idx val="1"/>
          <c:order val="1"/>
          <c:tx>
            <c:strRef>
              <c:f>'Figure D1a and D6-suppliers'!$AO$19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3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D6-suppliers'!$AM$20,'Figure D1a and D6-suppliers'!$AM$23,'Figure D1a and D6-suppliers'!$AM$26,'Figure D1a and D6-suppliers'!$AM$29,'Figure D1a and D6-suppliers'!$AM$32,'Figure D1a and D6-suppliers'!$AM$35)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D1a and D6-suppliers'!$AO$20,'Figure D1a and D6-suppliers'!$AO$23,'Figure D1a and D6-suppliers'!$AO$26,'Figure D1a and D6-suppliers'!$AO$29,'Figure D1a and D6-suppliers'!$AO$32,'Figure D1a and D6-suppliers'!$AO$35)</c:f>
              <c:numCache>
                <c:formatCode>General</c:formatCode>
                <c:ptCount val="6"/>
                <c:pt idx="0">
                  <c:v>0.18559999999999999</c:v>
                </c:pt>
                <c:pt idx="1">
                  <c:v>0.24049999999999999</c:v>
                </c:pt>
                <c:pt idx="2">
                  <c:v>0.1181</c:v>
                </c:pt>
                <c:pt idx="3">
                  <c:v>0.13070000000000001</c:v>
                </c:pt>
                <c:pt idx="4">
                  <c:v>0.12189999999999999</c:v>
                </c:pt>
                <c:pt idx="5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9-4EDF-BEC0-11B3F90CF26E}"/>
            </c:ext>
          </c:extLst>
        </c:ser>
        <c:ser>
          <c:idx val="2"/>
          <c:order val="2"/>
          <c:tx>
            <c:strRef>
              <c:f>'Figure D1a and D6-suppliers'!$AP$19</c:f>
              <c:strCache>
                <c:ptCount val="1"/>
                <c:pt idx="0">
                  <c:v>Bilateralism, legal support</c:v>
                </c:pt>
              </c:strCache>
            </c:strRef>
          </c:tx>
          <c:spPr>
            <a:solidFill>
              <a:schemeClr val="accent3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D6-suppliers'!$AM$20,'Figure D1a and D6-suppliers'!$AM$23,'Figure D1a and D6-suppliers'!$AM$26,'Figure D1a and D6-suppliers'!$AM$29,'Figure D1a and D6-suppliers'!$AM$32,'Figure D1a and D6-suppliers'!$AM$35)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D1a and D6-suppliers'!$AP$20,'Figure D1a and D6-suppliers'!$AP$23,'Figure D1a and D6-suppliers'!$AP$26,'Figure D1a and D6-suppliers'!$AP$29,'Figure D1a and D6-suppliers'!$AP$32,'Figure D1a and D6-suppliers'!$AP$35)</c:f>
              <c:numCache>
                <c:formatCode>General</c:formatCode>
                <c:ptCount val="6"/>
                <c:pt idx="0">
                  <c:v>0.12239999999999999</c:v>
                </c:pt>
                <c:pt idx="1">
                  <c:v>0.2235</c:v>
                </c:pt>
                <c:pt idx="2">
                  <c:v>0.22939999999999999</c:v>
                </c:pt>
                <c:pt idx="3">
                  <c:v>0.14940000000000001</c:v>
                </c:pt>
                <c:pt idx="4">
                  <c:v>0.1457</c:v>
                </c:pt>
                <c:pt idx="5">
                  <c:v>0.2001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9-4EDF-BEC0-11B3F90CF26E}"/>
            </c:ext>
          </c:extLst>
        </c:ser>
        <c:ser>
          <c:idx val="3"/>
          <c:order val="3"/>
          <c:tx>
            <c:strRef>
              <c:f>'Figure D1a and D6-suppliers'!$AQ$19</c:f>
              <c:strCache>
                <c:ptCount val="1"/>
                <c:pt idx="0">
                  <c:v>Strong comprehensive</c:v>
                </c:pt>
              </c:strCache>
            </c:strRef>
          </c:tx>
          <c:spPr>
            <a:solidFill>
              <a:schemeClr val="accent3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8.41219768664563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934-40CC-BAC6-97E8BBE4C41F}"/>
                </c:ext>
              </c:extLst>
            </c:dLbl>
            <c:dLbl>
              <c:idx val="1"/>
              <c:layout>
                <c:manualLayout>
                  <c:x val="0"/>
                  <c:y val="3.94477317554240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34-40CC-BAC6-97E8BBE4C41F}"/>
                </c:ext>
              </c:extLst>
            </c:dLbl>
            <c:dLbl>
              <c:idx val="2"/>
              <c:layout>
                <c:manualLayout>
                  <c:x val="0"/>
                  <c:y val="1.18343195266272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34-40CC-BAC6-97E8BBE4C41F}"/>
                </c:ext>
              </c:extLst>
            </c:dLbl>
            <c:dLbl>
              <c:idx val="3"/>
              <c:layout>
                <c:manualLayout>
                  <c:x val="0"/>
                  <c:y val="1.2095680468963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34-40CC-BAC6-97E8BBE4C41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34-40CC-BAC6-97E8BBE4C41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D6-suppliers'!$AM$20,'Figure D1a and D6-suppliers'!$AM$23,'Figure D1a and D6-suppliers'!$AM$26,'Figure D1a and D6-suppliers'!$AM$29,'Figure D1a and D6-suppliers'!$AM$32,'Figure D1a and D6-suppliers'!$AM$35)</c:f>
              <c:strCache>
                <c:ptCount val="6"/>
                <c:pt idx="0">
                  <c:v>Argentina</c:v>
                </c:pt>
                <c:pt idx="1">
                  <c:v>Bolivia</c:v>
                </c:pt>
                <c:pt idx="2">
                  <c:v>Ecuador</c:v>
                </c:pt>
                <c:pt idx="3">
                  <c:v>Paraguay</c:v>
                </c:pt>
                <c:pt idx="4">
                  <c:v>Peru</c:v>
                </c:pt>
                <c:pt idx="5">
                  <c:v>Uruguay</c:v>
                </c:pt>
              </c:strCache>
            </c:strRef>
          </c:cat>
          <c:val>
            <c:numRef>
              <c:f>('Figure D1a and D6-suppliers'!$AQ$20,'Figure D1a and D6-suppliers'!$AQ$23,'Figure D1a and D6-suppliers'!$AQ$26,'Figure D1a and D6-suppliers'!$AQ$29,'Figure D1a and D6-suppliers'!$AQ$32,'Figure D1a and D6-suppliers'!$AQ$35)</c:f>
              <c:numCache>
                <c:formatCode>General</c:formatCode>
                <c:ptCount val="6"/>
                <c:pt idx="0">
                  <c:v>2.12E-2</c:v>
                </c:pt>
                <c:pt idx="1">
                  <c:v>1.83E-2</c:v>
                </c:pt>
                <c:pt idx="2">
                  <c:v>5.4999999999999997E-3</c:v>
                </c:pt>
                <c:pt idx="3">
                  <c:v>6.1000000000000004E-3</c:v>
                </c:pt>
                <c:pt idx="4">
                  <c:v>1E-3</c:v>
                </c:pt>
                <c:pt idx="5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9-4EDF-BEC0-11B3F90CF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623129981680467E-2"/>
          <c:y val="0.90947647316956048"/>
          <c:w val="0.97612022254124309"/>
          <c:h val="6.6568513255369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'Figure D2a-D5-suppliers'!$B$11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BED5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('Figure D2a-D5-suppliers'!$A$12,'Figure D2a-D5-suppliers'!$A$15)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D2a-D5-suppliers'!$B$12,'Figure D2a-D5-suppliers'!$B$15)</c:f>
              <c:numCache>
                <c:formatCode>0.00</c:formatCode>
                <c:ptCount val="2"/>
                <c:pt idx="0">
                  <c:v>0.60980000000000001</c:v>
                </c:pt>
                <c:pt idx="1">
                  <c:v>0.68600000000000005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04B-45B0-BE35-26814A9788D9}"/>
            </c:ext>
          </c:extLst>
        </c:ser>
        <c:ser>
          <c:idx val="5"/>
          <c:order val="1"/>
          <c:tx>
            <c:strRef>
              <c:f>'Figure D2a-D5-suppliers'!$C$11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rgbClr val="90BB7A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('Figure D2a-D5-suppliers'!$A$12,'Figure D2a-D5-suppliers'!$A$15)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D2a-D5-suppliers'!$C$12,'Figure D2a-D5-suppliers'!$C$15)</c:f>
              <c:numCache>
                <c:formatCode>0.00</c:formatCode>
                <c:ptCount val="2"/>
                <c:pt idx="0">
                  <c:v>0.19570000000000001</c:v>
                </c:pt>
                <c:pt idx="1">
                  <c:v>0.1431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04B-45B0-BE35-26814A9788D9}"/>
            </c:ext>
          </c:extLst>
        </c:ser>
        <c:ser>
          <c:idx val="6"/>
          <c:order val="2"/>
          <c:tx>
            <c:strRef>
              <c:f>'Figure D2a-D5-suppliers'!$D$11</c:f>
              <c:strCache>
                <c:ptCount val="1"/>
                <c:pt idx="0">
                  <c:v>BL</c:v>
                </c:pt>
              </c:strCache>
            </c:strRef>
          </c:tx>
          <c:spPr>
            <a:solidFill>
              <a:srgbClr val="68A24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('Figure D2a-D5-suppliers'!$A$12,'Figure D2a-D5-suppliers'!$A$15)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D2a-D5-suppliers'!$D$12,'Figure D2a-D5-suppliers'!$D$15)</c:f>
              <c:numCache>
                <c:formatCode>0.00</c:formatCode>
                <c:ptCount val="2"/>
                <c:pt idx="0">
                  <c:v>0.17430000000000001</c:v>
                </c:pt>
                <c:pt idx="1">
                  <c:v>0.15629999999999999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4B-45B0-BE35-26814A9788D9}"/>
            </c:ext>
          </c:extLst>
        </c:ser>
        <c:ser>
          <c:idx val="7"/>
          <c:order val="3"/>
          <c:tx>
            <c:strRef>
              <c:f>'Figure D2a-D5-suppliers'!$E$11</c:f>
              <c:strCache>
                <c:ptCount val="1"/>
                <c:pt idx="0">
                  <c:v>SC</c:v>
                </c:pt>
              </c:strCache>
            </c:strRef>
          </c:tx>
          <c:spPr>
            <a:solidFill>
              <a:srgbClr val="568736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9.25925925925925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A4-4B65-B5BA-A45D938A98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 Black" panose="020B0A040201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('Figure D2a-D5-suppliers'!$A$12,'Figure D2a-D5-suppliers'!$A$15)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D2a-D5-suppliers'!$E$12,'Figure D2a-D5-suppliers'!$E$15)</c:f>
              <c:numCache>
                <c:formatCode>0.00</c:formatCode>
                <c:ptCount val="2"/>
                <c:pt idx="0">
                  <c:v>2.0199999999999999E-2</c:v>
                </c:pt>
                <c:pt idx="1">
                  <c:v>1.46E-2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04B-45B0-BE35-26814A978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  <c:extLst>
          <c:ext xmlns:c15="http://schemas.microsoft.com/office/drawing/2012/chart" uri="{02D57815-91ED-43cb-92C2-25804820EDAC}">
            <c15:filteredBarSeries>
              <c15:ser>
                <c:idx val="0"/>
                <c:order val="4"/>
                <c:tx>
                  <c:strRef>
                    <c:extLst>
                      <c:ext uri="{02D57815-91ED-43cb-92C2-25804820EDAC}">
                        <c15:formulaRef>
                          <c15:sqref>'Figure D2a-D5-suppliers'!$B$11</c15:sqref>
                        </c15:formulaRef>
                      </c:ext>
                    </c:extLst>
                    <c:strCache>
                      <c:ptCount val="1"/>
                      <c:pt idx="0">
                        <c:v>B</c:v>
                      </c:pt>
                    </c:strCache>
                  </c:strRef>
                </c:tx>
                <c:spPr>
                  <a:solidFill>
                    <a:schemeClr val="accent6">
                      <a:tint val="5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('Figure D2a-D5-suppliers'!$A$12,'Figure D2a-D5-suppliers'!$A$15)</c15:sqref>
                        </c15:formulaRef>
                      </c:ext>
                    </c:extLst>
                    <c:strCache>
                      <c:ptCount val="2"/>
                      <c:pt idx="0">
                        <c:v>Yes</c:v>
                      </c:pt>
                      <c:pt idx="1">
                        <c:v>No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('Figure D2a-D5-suppliers'!$B$12,'Figure D2a-D5-suppliers'!$B$15)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0.60980000000000001</c:v>
                      </c:pt>
                      <c:pt idx="1">
                        <c:v>0.68600000000000005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304B-45B0-BE35-26814A9788D9}"/>
                  </c:ext>
                </c:extLst>
              </c15:ser>
            </c15:filteredBarSeries>
            <c15:filteredBarSeries>
              <c15:ser>
                <c:idx val="1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D2a-D5-suppliers'!$C$11</c15:sqref>
                        </c15:formulaRef>
                      </c:ext>
                    </c:extLst>
                    <c:strCache>
                      <c:ptCount val="1"/>
                      <c:pt idx="0">
                        <c:v>BP</c:v>
                      </c:pt>
                    </c:strCache>
                  </c:strRef>
                </c:tx>
                <c:spPr>
                  <a:solidFill>
                    <a:schemeClr val="accent6">
                      <a:tint val="8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('Figure D2a-D5-suppliers'!$A$12,'Figure D2a-D5-suppliers'!$A$15)</c15:sqref>
                        </c15:formulaRef>
                      </c:ext>
                    </c:extLst>
                    <c:strCache>
                      <c:ptCount val="2"/>
                      <c:pt idx="0">
                        <c:v>Yes</c:v>
                      </c:pt>
                      <c:pt idx="1">
                        <c:v>No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('Figure D2a-D5-suppliers'!$C$12,'Figure D2a-D5-suppliers'!$C$15)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0.19570000000000001</c:v>
                      </c:pt>
                      <c:pt idx="1">
                        <c:v>0.1431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04B-45B0-BE35-26814A9788D9}"/>
                  </c:ext>
                </c:extLst>
              </c15:ser>
            </c15:filteredBarSeries>
            <c15:filteredBarSeries>
              <c15:ser>
                <c:idx val="2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D2a-D5-suppliers'!$D$11</c15:sqref>
                        </c15:formulaRef>
                      </c:ext>
                    </c:extLst>
                    <c:strCache>
                      <c:ptCount val="1"/>
                      <c:pt idx="0">
                        <c:v>BL</c:v>
                      </c:pt>
                    </c:strCache>
                  </c:strRef>
                </c:tx>
                <c:spPr>
                  <a:solidFill>
                    <a:schemeClr val="accent6">
                      <a:shade val="8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('Figure D2a-D5-suppliers'!$A$12,'Figure D2a-D5-suppliers'!$A$15)</c15:sqref>
                        </c15:formulaRef>
                      </c:ext>
                    </c:extLst>
                    <c:strCache>
                      <c:ptCount val="2"/>
                      <c:pt idx="0">
                        <c:v>Yes</c:v>
                      </c:pt>
                      <c:pt idx="1">
                        <c:v>No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('Figure D2a-D5-suppliers'!$D$12,'Figure D2a-D5-suppliers'!$D$15)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0.17430000000000001</c:v>
                      </c:pt>
                      <c:pt idx="1">
                        <c:v>0.15629999999999999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04B-45B0-BE35-26814A9788D9}"/>
                  </c:ext>
                </c:extLst>
              </c15:ser>
            </c15:filteredBarSeries>
            <c15:filteredBarSeries>
              <c15:ser>
                <c:idx val="3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 D2a-D5-suppliers'!$E$11</c15:sqref>
                        </c15:formulaRef>
                      </c:ext>
                    </c:extLst>
                    <c:strCache>
                      <c:ptCount val="1"/>
                      <c:pt idx="0">
                        <c:v>SC</c:v>
                      </c:pt>
                    </c:strCache>
                  </c:strRef>
                </c:tx>
                <c:spPr>
                  <a:solidFill>
                    <a:schemeClr val="accent6">
                      <a:shade val="5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('Figure D2a-D5-suppliers'!$A$12,'Figure D2a-D5-suppliers'!$A$15)</c15:sqref>
                        </c15:formulaRef>
                      </c:ext>
                    </c:extLst>
                    <c:strCache>
                      <c:ptCount val="2"/>
                      <c:pt idx="0">
                        <c:v>Yes</c:v>
                      </c:pt>
                      <c:pt idx="1">
                        <c:v>No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('Figure D2a-D5-suppliers'!$E$12,'Figure D2a-D5-suppliers'!$E$15)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2.0199999999999999E-2</c:v>
                      </c:pt>
                      <c:pt idx="1">
                        <c:v>1.46E-2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04B-45B0-BE35-26814A9788D9}"/>
                  </c:ext>
                </c:extLst>
              </c15:ser>
            </c15:filteredBarSeries>
          </c:ext>
        </c:extLst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D2a-D5-suppliers'!$L$11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D2a-D5-suppliers'!$K$12,'Figure D2a-D5-suppliers'!$K$15)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D2a-D5-suppliers'!$L$12,'Figure D2a-D5-suppliers'!$L$15)</c:f>
              <c:numCache>
                <c:formatCode>0.00</c:formatCode>
                <c:ptCount val="2"/>
                <c:pt idx="0">
                  <c:v>0.61550000000000005</c:v>
                </c:pt>
                <c:pt idx="1">
                  <c:v>0.67510000000000003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6-4551-9280-A518694D8DA3}"/>
            </c:ext>
          </c:extLst>
        </c:ser>
        <c:ser>
          <c:idx val="1"/>
          <c:order val="1"/>
          <c:tx>
            <c:strRef>
              <c:f>'Figure D2a-D5-suppliers'!$M$11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D2a-D5-suppliers'!$K$12,'Figure D2a-D5-suppliers'!$K$15)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D2a-D5-suppliers'!$M$12,'Figure D2a-D5-suppliers'!$M$15)</c:f>
              <c:numCache>
                <c:formatCode>0.00</c:formatCode>
                <c:ptCount val="2"/>
                <c:pt idx="0">
                  <c:v>0.18770000000000001</c:v>
                </c:pt>
                <c:pt idx="1">
                  <c:v>0.15260000000000001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26-4551-9280-A518694D8DA3}"/>
            </c:ext>
          </c:extLst>
        </c:ser>
        <c:ser>
          <c:idx val="2"/>
          <c:order val="2"/>
          <c:tx>
            <c:strRef>
              <c:f>'Figure D2a-D5-suppliers'!$N$11</c:f>
              <c:strCache>
                <c:ptCount val="1"/>
                <c:pt idx="0">
                  <c:v>BL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D2a-D5-suppliers'!$K$12,'Figure D2a-D5-suppliers'!$K$15)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D2a-D5-suppliers'!$N$12,'Figure D2a-D5-suppliers'!$N$15)</c:f>
              <c:numCache>
                <c:formatCode>0.00</c:formatCode>
                <c:ptCount val="2"/>
                <c:pt idx="0">
                  <c:v>0.17299999999999999</c:v>
                </c:pt>
                <c:pt idx="1">
                  <c:v>0.1588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26-4551-9280-A518694D8DA3}"/>
            </c:ext>
          </c:extLst>
        </c:ser>
        <c:ser>
          <c:idx val="3"/>
          <c:order val="3"/>
          <c:tx>
            <c:strRef>
              <c:f>'Figure D2a-D5-suppliers'!$O$11</c:f>
              <c:strCache>
                <c:ptCount val="1"/>
                <c:pt idx="0">
                  <c:v>SC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F1F-4560-AE99-DDF8AE35AF0C}"/>
                </c:ext>
              </c:extLst>
            </c:dLbl>
            <c:dLbl>
              <c:idx val="1"/>
              <c:layout>
                <c:manualLayout>
                  <c:x val="0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1F-4560-AE99-DDF8AE35AF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ctr"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D2a-D5-suppliers'!$K$12,'Figure D2a-D5-suppliers'!$K$15)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('Figure D2a-D5-suppliers'!$O$12,'Figure D2a-D5-suppliers'!$O$15)</c:f>
              <c:numCache>
                <c:formatCode>0.00</c:formatCode>
                <c:ptCount val="2"/>
                <c:pt idx="0">
                  <c:v>2.3900000000000001E-2</c:v>
                </c:pt>
                <c:pt idx="1">
                  <c:v>1.35E-2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26-4551-9280-A518694D8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D2a-D5-suppliers'!$V$27</c:f>
              <c:strCache>
                <c:ptCount val="1"/>
                <c:pt idx="0">
                  <c:v>Bilateralism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D2a-D5-suppliers'!$S$28,'Figure D2a-D5-suppliers'!$S$30,'Figure D2a-D5-suppliers'!$S$32,'Figure D2a-D5-suppliers'!$S$34,'Figure D2a-D5-suppliers'!$S$36,'Figure D2a-D5-suppliers'!$S$38,'Figure D2a-D5-suppliers'!$S$40,'Figure D2a-D5-suppliers'!$S$42,'Figure D2a-D5-suppliers'!$S$44,'Figure D2a-D5-suppliers'!$S$46)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D2a-D5-suppliers'!$V$28,'Figure D2a-D5-suppliers'!$V$30,'Figure D2a-D5-suppliers'!$V$32,'Figure D2a-D5-suppliers'!$V$34,'Figure D2a-D5-suppliers'!$V$36,'Figure D2a-D5-suppliers'!$V$38,'Figure D2a-D5-suppliers'!$V$40,'Figure D2a-D5-suppliers'!$V$42,'Figure D2a-D5-suppliers'!$V$44,'Figure D2a-D5-suppliers'!$V$46)</c:f>
              <c:numCache>
                <c:formatCode>0.00</c:formatCode>
                <c:ptCount val="10"/>
                <c:pt idx="0">
                  <c:v>0.74419999999999997</c:v>
                </c:pt>
                <c:pt idx="1">
                  <c:v>0.66549999999999998</c:v>
                </c:pt>
                <c:pt idx="2">
                  <c:v>0.72729999999999995</c:v>
                </c:pt>
                <c:pt idx="3">
                  <c:v>0.68589999999999995</c:v>
                </c:pt>
                <c:pt idx="4">
                  <c:v>0.51719999999999999</c:v>
                </c:pt>
                <c:pt idx="5">
                  <c:v>0.74</c:v>
                </c:pt>
                <c:pt idx="6">
                  <c:v>0.50609999999999999</c:v>
                </c:pt>
                <c:pt idx="7">
                  <c:v>0.66</c:v>
                </c:pt>
                <c:pt idx="8">
                  <c:v>0.71220000000000006</c:v>
                </c:pt>
                <c:pt idx="9">
                  <c:v>0.54339999999999999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1-4409-9784-021A8B8C36FD}"/>
            </c:ext>
          </c:extLst>
        </c:ser>
        <c:ser>
          <c:idx val="1"/>
          <c:order val="1"/>
          <c:tx>
            <c:strRef>
              <c:f>'Figure D2a-D5-suppliers'!$W$27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D2a-D5-suppliers'!$S$28,'Figure D2a-D5-suppliers'!$S$30,'Figure D2a-D5-suppliers'!$S$32,'Figure D2a-D5-suppliers'!$S$34,'Figure D2a-D5-suppliers'!$S$36,'Figure D2a-D5-suppliers'!$S$38,'Figure D2a-D5-suppliers'!$S$40,'Figure D2a-D5-suppliers'!$S$42,'Figure D2a-D5-suppliers'!$S$44,'Figure D2a-D5-suppliers'!$S$46)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D2a-D5-suppliers'!$W$28,'Figure D2a-D5-suppliers'!$W$30,'Figure D2a-D5-suppliers'!$W$32,'Figure D2a-D5-suppliers'!$W$34,'Figure D2a-D5-suppliers'!$W$36,'Figure D2a-D5-suppliers'!$W$38,'Figure D2a-D5-suppliers'!$W$40,'Figure D2a-D5-suppliers'!$W$42,'Figure D2a-D5-suppliers'!$W$44,'Figure D2a-D5-suppliers'!$W$46)</c:f>
              <c:numCache>
                <c:formatCode>0.00</c:formatCode>
                <c:ptCount val="10"/>
                <c:pt idx="0">
                  <c:v>0.11799999999999999</c:v>
                </c:pt>
                <c:pt idx="1">
                  <c:v>0.1971</c:v>
                </c:pt>
                <c:pt idx="2">
                  <c:v>0.14899999999999999</c:v>
                </c:pt>
                <c:pt idx="3">
                  <c:v>0.161</c:v>
                </c:pt>
                <c:pt idx="4">
                  <c:v>0.27979999999999999</c:v>
                </c:pt>
                <c:pt idx="5">
                  <c:v>0.1206</c:v>
                </c:pt>
                <c:pt idx="6">
                  <c:v>0.1411</c:v>
                </c:pt>
                <c:pt idx="7">
                  <c:v>0.15720000000000001</c:v>
                </c:pt>
                <c:pt idx="8">
                  <c:v>0.19969999999999999</c:v>
                </c:pt>
                <c:pt idx="9">
                  <c:v>0.29509999999999997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11-4409-9784-021A8B8C36FD}"/>
            </c:ext>
          </c:extLst>
        </c:ser>
        <c:ser>
          <c:idx val="2"/>
          <c:order val="2"/>
          <c:tx>
            <c:strRef>
              <c:f>'Figure D2a-D5-suppliers'!$X$27</c:f>
              <c:strCache>
                <c:ptCount val="1"/>
                <c:pt idx="0">
                  <c:v>Bilateralism, legal support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D2a-D5-suppliers'!$S$28,'Figure D2a-D5-suppliers'!$S$30,'Figure D2a-D5-suppliers'!$S$32,'Figure D2a-D5-suppliers'!$S$34,'Figure D2a-D5-suppliers'!$S$36,'Figure D2a-D5-suppliers'!$S$38,'Figure D2a-D5-suppliers'!$S$40,'Figure D2a-D5-suppliers'!$S$42,'Figure D2a-D5-suppliers'!$S$44,'Figure D2a-D5-suppliers'!$S$46)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D2a-D5-suppliers'!$X$28,'Figure D2a-D5-suppliers'!$X$30,'Figure D2a-D5-suppliers'!$X$32,'Figure D2a-D5-suppliers'!$X$34,'Figure D2a-D5-suppliers'!$X$36,'Figure D2a-D5-suppliers'!$X$38,'Figure D2a-D5-suppliers'!$X$40,'Figure D2a-D5-suppliers'!$X$42,'Figure D2a-D5-suppliers'!$X$44,'Figure D2a-D5-suppliers'!$X$46)</c:f>
              <c:numCache>
                <c:formatCode>0.00</c:formatCode>
                <c:ptCount val="10"/>
                <c:pt idx="0">
                  <c:v>0.1144</c:v>
                </c:pt>
                <c:pt idx="1">
                  <c:v>0.1242</c:v>
                </c:pt>
                <c:pt idx="2">
                  <c:v>0.1237</c:v>
                </c:pt>
                <c:pt idx="3">
                  <c:v>0.15310000000000001</c:v>
                </c:pt>
                <c:pt idx="4">
                  <c:v>0.2031</c:v>
                </c:pt>
                <c:pt idx="5">
                  <c:v>0.1085</c:v>
                </c:pt>
                <c:pt idx="6">
                  <c:v>0.3246</c:v>
                </c:pt>
                <c:pt idx="7">
                  <c:v>0.16900000000000001</c:v>
                </c:pt>
                <c:pt idx="8">
                  <c:v>7.4999999999999997E-2</c:v>
                </c:pt>
                <c:pt idx="9">
                  <c:v>0.10249999999999999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11-4409-9784-021A8B8C36FD}"/>
            </c:ext>
          </c:extLst>
        </c:ser>
        <c:ser>
          <c:idx val="3"/>
          <c:order val="3"/>
          <c:tx>
            <c:strRef>
              <c:f>'Figure D2a-D5-suppliers'!$Y$27</c:f>
              <c:strCache>
                <c:ptCount val="1"/>
                <c:pt idx="0">
                  <c:v>Strong comprehensive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311-456D-B840-0B8709F0AA7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11-456D-B840-0B8709F0AA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D2a-D5-suppliers'!$S$28,'Figure D2a-D5-suppliers'!$S$30,'Figure D2a-D5-suppliers'!$S$32,'Figure D2a-D5-suppliers'!$S$34,'Figure D2a-D5-suppliers'!$S$36,'Figure D2a-D5-suppliers'!$S$38,'Figure D2a-D5-suppliers'!$S$40,'Figure D2a-D5-suppliers'!$S$42,'Figure D2a-D5-suppliers'!$S$44,'Figure D2a-D5-suppliers'!$S$46)</c:f>
              <c:strCache>
                <c:ptCount val="10"/>
                <c:pt idx="0">
                  <c:v>Food</c:v>
                </c:pt>
                <c:pt idx="1">
                  <c:v>Textiles and Garments</c:v>
                </c:pt>
                <c:pt idx="2">
                  <c:v>Wood and Wood Products</c:v>
                </c:pt>
                <c:pt idx="3">
                  <c:v>Chemicals, Plastics, Non-metallics</c:v>
                </c:pt>
                <c:pt idx="4">
                  <c:v>Metals</c:v>
                </c:pt>
                <c:pt idx="5">
                  <c:v>Machinery and Equipment</c:v>
                </c:pt>
                <c:pt idx="6">
                  <c:v>Construction</c:v>
                </c:pt>
                <c:pt idx="7">
                  <c:v>Retail, Wholesale, Tourism</c:v>
                </c:pt>
                <c:pt idx="8">
                  <c:v>Transport</c:v>
                </c:pt>
                <c:pt idx="9">
                  <c:v>Telecom and IT</c:v>
                </c:pt>
              </c:strCache>
            </c:strRef>
          </c:cat>
          <c:val>
            <c:numRef>
              <c:f>('Figure D2a-D5-suppliers'!$Y$28,'Figure D2a-D5-suppliers'!$Y$30,'Figure D2a-D5-suppliers'!$Y$32,'Figure D2a-D5-suppliers'!$Y$34,'Figure D2a-D5-suppliers'!$Y$36,'Figure D2a-D5-suppliers'!$Y$38,'Figure D2a-D5-suppliers'!$Y$40,'Figure D2a-D5-suppliers'!$Y$42,'Figure D2a-D5-suppliers'!$Y$44,'Figure D2a-D5-suppliers'!$Y$46)</c:f>
              <c:numCache>
                <c:formatCode>0.00</c:formatCode>
                <c:ptCount val="10"/>
                <c:pt idx="0">
                  <c:v>2.3300000000000001E-2</c:v>
                </c:pt>
                <c:pt idx="1">
                  <c:v>1.32E-2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3.1E-2</c:v>
                </c:pt>
                <c:pt idx="6">
                  <c:v>2.8199999999999999E-2</c:v>
                </c:pt>
                <c:pt idx="7">
                  <c:v>1.3899999999999999E-2</c:v>
                </c:pt>
                <c:pt idx="8">
                  <c:v>1.3100000000000001E-2</c:v>
                </c:pt>
                <c:pt idx="9">
                  <c:v>5.91E-2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311-4409-9784-021A8B8C3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  <c:extLst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 algn="ctr">
              <a:defRPr lang="en-US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051284030672636"/>
          <c:y val="0.93711307736017535"/>
          <c:w val="0.81204621481138384"/>
          <c:h val="4.63920772789999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4260717410323E-2"/>
          <c:y val="6.5998143312412244E-2"/>
          <c:w val="0.89655796150481193"/>
          <c:h val="0.6782239832344447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'Figure D2a-D5-suppliers'!$EW$7</c:f>
              <c:strCache>
                <c:ptCount val="1"/>
                <c:pt idx="0">
                  <c:v>Pure bilateralism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'Figure D2a-D5-suppliers'!$EV$8:$EV$262</c:f>
              <c:numCache>
                <c:formatCode>0.00</c:formatCode>
                <c:ptCount val="255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0.24</c:v>
                </c:pt>
                <c:pt idx="23">
                  <c:v>0.25</c:v>
                </c:pt>
                <c:pt idx="24">
                  <c:v>0.25319999999999998</c:v>
                </c:pt>
                <c:pt idx="25">
                  <c:v>0.25340000000000001</c:v>
                </c:pt>
                <c:pt idx="26">
                  <c:v>0.26340000000000002</c:v>
                </c:pt>
                <c:pt idx="27">
                  <c:v>0.2666</c:v>
                </c:pt>
                <c:pt idx="28">
                  <c:v>0.26679999999999998</c:v>
                </c:pt>
                <c:pt idx="29">
                  <c:v>0.27660000000000001</c:v>
                </c:pt>
                <c:pt idx="30">
                  <c:v>0.28000000000000003</c:v>
                </c:pt>
                <c:pt idx="31">
                  <c:v>0.28660000000000002</c:v>
                </c:pt>
                <c:pt idx="32">
                  <c:v>0.29320000000000002</c:v>
                </c:pt>
                <c:pt idx="33">
                  <c:v>0.29339999999999999</c:v>
                </c:pt>
                <c:pt idx="34">
                  <c:v>0.30659999999999998</c:v>
                </c:pt>
                <c:pt idx="35">
                  <c:v>0.30680000000000002</c:v>
                </c:pt>
                <c:pt idx="36">
                  <c:v>0.31659999999999999</c:v>
                </c:pt>
                <c:pt idx="37">
                  <c:v>0.31979999999999997</c:v>
                </c:pt>
                <c:pt idx="38">
                  <c:v>0.32</c:v>
                </c:pt>
                <c:pt idx="39">
                  <c:v>0.32319999999999999</c:v>
                </c:pt>
                <c:pt idx="40">
                  <c:v>0.33</c:v>
                </c:pt>
                <c:pt idx="41">
                  <c:v>0.3332</c:v>
                </c:pt>
                <c:pt idx="42">
                  <c:v>0.33339999999999997</c:v>
                </c:pt>
                <c:pt idx="43">
                  <c:v>0.34339999999999998</c:v>
                </c:pt>
                <c:pt idx="44">
                  <c:v>0.34660000000000002</c:v>
                </c:pt>
                <c:pt idx="45">
                  <c:v>0.3468</c:v>
                </c:pt>
                <c:pt idx="46">
                  <c:v>0.35</c:v>
                </c:pt>
                <c:pt idx="47">
                  <c:v>0.35339999999999999</c:v>
                </c:pt>
                <c:pt idx="48">
                  <c:v>0.35680000000000001</c:v>
                </c:pt>
                <c:pt idx="49">
                  <c:v>0.35980000000000001</c:v>
                </c:pt>
                <c:pt idx="50">
                  <c:v>0.36</c:v>
                </c:pt>
                <c:pt idx="51">
                  <c:v>0.3634</c:v>
                </c:pt>
                <c:pt idx="52">
                  <c:v>0.36659999999999998</c:v>
                </c:pt>
                <c:pt idx="53">
                  <c:v>0.37319999999999998</c:v>
                </c:pt>
                <c:pt idx="54">
                  <c:v>0.37340000000000001</c:v>
                </c:pt>
                <c:pt idx="55">
                  <c:v>0.37659999999999999</c:v>
                </c:pt>
                <c:pt idx="56">
                  <c:v>0.38</c:v>
                </c:pt>
                <c:pt idx="57">
                  <c:v>0.38319999999999999</c:v>
                </c:pt>
                <c:pt idx="58">
                  <c:v>0.38340000000000002</c:v>
                </c:pt>
                <c:pt idx="59">
                  <c:v>0.3866</c:v>
                </c:pt>
                <c:pt idx="60">
                  <c:v>0.38679999999999998</c:v>
                </c:pt>
                <c:pt idx="61">
                  <c:v>0.38979999999999998</c:v>
                </c:pt>
                <c:pt idx="62">
                  <c:v>0.39</c:v>
                </c:pt>
                <c:pt idx="63">
                  <c:v>0.39319999999999999</c:v>
                </c:pt>
                <c:pt idx="64">
                  <c:v>0.39340000000000003</c:v>
                </c:pt>
                <c:pt idx="65">
                  <c:v>0.39660000000000001</c:v>
                </c:pt>
                <c:pt idx="66">
                  <c:v>0.39679999999999999</c:v>
                </c:pt>
                <c:pt idx="67">
                  <c:v>0.39979999999999999</c:v>
                </c:pt>
                <c:pt idx="68">
                  <c:v>0.4</c:v>
                </c:pt>
                <c:pt idx="69">
                  <c:v>0.4002</c:v>
                </c:pt>
                <c:pt idx="70">
                  <c:v>0.41</c:v>
                </c:pt>
                <c:pt idx="71">
                  <c:v>0.41320000000000001</c:v>
                </c:pt>
                <c:pt idx="72">
                  <c:v>0.41339999999999999</c:v>
                </c:pt>
                <c:pt idx="73">
                  <c:v>0.41660000000000003</c:v>
                </c:pt>
                <c:pt idx="74">
                  <c:v>0.4234</c:v>
                </c:pt>
                <c:pt idx="75">
                  <c:v>0.42659999999999998</c:v>
                </c:pt>
                <c:pt idx="76">
                  <c:v>0.42680000000000001</c:v>
                </c:pt>
                <c:pt idx="77">
                  <c:v>0.43340000000000001</c:v>
                </c:pt>
                <c:pt idx="78">
                  <c:v>0.44</c:v>
                </c:pt>
                <c:pt idx="79">
                  <c:v>0.44019999999999998</c:v>
                </c:pt>
                <c:pt idx="80">
                  <c:v>0.44319999999999998</c:v>
                </c:pt>
                <c:pt idx="81">
                  <c:v>0.44340000000000002</c:v>
                </c:pt>
                <c:pt idx="82">
                  <c:v>0.4466</c:v>
                </c:pt>
                <c:pt idx="83">
                  <c:v>0.44679999999999997</c:v>
                </c:pt>
                <c:pt idx="84">
                  <c:v>0.45</c:v>
                </c:pt>
                <c:pt idx="85">
                  <c:v>0.45019999999999999</c:v>
                </c:pt>
                <c:pt idx="86">
                  <c:v>0.45319999999999999</c:v>
                </c:pt>
                <c:pt idx="87">
                  <c:v>0.45340000000000003</c:v>
                </c:pt>
                <c:pt idx="88">
                  <c:v>0.45979999999999999</c:v>
                </c:pt>
                <c:pt idx="89">
                  <c:v>0.46</c:v>
                </c:pt>
                <c:pt idx="90">
                  <c:v>0.46339999999999998</c:v>
                </c:pt>
                <c:pt idx="91">
                  <c:v>0.46660000000000001</c:v>
                </c:pt>
                <c:pt idx="92">
                  <c:v>0.46679999999999999</c:v>
                </c:pt>
                <c:pt idx="93">
                  <c:v>0.4698</c:v>
                </c:pt>
                <c:pt idx="94">
                  <c:v>0.47</c:v>
                </c:pt>
                <c:pt idx="95">
                  <c:v>0.47660000000000002</c:v>
                </c:pt>
                <c:pt idx="96">
                  <c:v>0.4768</c:v>
                </c:pt>
                <c:pt idx="97">
                  <c:v>0.48</c:v>
                </c:pt>
                <c:pt idx="98">
                  <c:v>0.48020000000000002</c:v>
                </c:pt>
                <c:pt idx="99">
                  <c:v>0.48320000000000002</c:v>
                </c:pt>
                <c:pt idx="100">
                  <c:v>0.4834</c:v>
                </c:pt>
                <c:pt idx="101">
                  <c:v>0.49</c:v>
                </c:pt>
                <c:pt idx="102">
                  <c:v>0.49320000000000003</c:v>
                </c:pt>
                <c:pt idx="103">
                  <c:v>0.49340000000000001</c:v>
                </c:pt>
                <c:pt idx="104">
                  <c:v>0.49659999999999999</c:v>
                </c:pt>
                <c:pt idx="105">
                  <c:v>0.49680000000000002</c:v>
                </c:pt>
                <c:pt idx="106">
                  <c:v>0.5</c:v>
                </c:pt>
                <c:pt idx="107">
                  <c:v>0.50660000000000005</c:v>
                </c:pt>
                <c:pt idx="108">
                  <c:v>0.50680000000000003</c:v>
                </c:pt>
                <c:pt idx="109">
                  <c:v>0.51</c:v>
                </c:pt>
                <c:pt idx="110">
                  <c:v>0.51659999999999995</c:v>
                </c:pt>
                <c:pt idx="111">
                  <c:v>0.51680000000000004</c:v>
                </c:pt>
                <c:pt idx="112">
                  <c:v>0.52</c:v>
                </c:pt>
                <c:pt idx="113">
                  <c:v>0.5202</c:v>
                </c:pt>
                <c:pt idx="114">
                  <c:v>0.52339999999999998</c:v>
                </c:pt>
                <c:pt idx="115">
                  <c:v>0.52659999999999996</c:v>
                </c:pt>
                <c:pt idx="116">
                  <c:v>0.52680000000000005</c:v>
                </c:pt>
                <c:pt idx="117">
                  <c:v>0.53</c:v>
                </c:pt>
                <c:pt idx="118">
                  <c:v>0.53320000000000001</c:v>
                </c:pt>
                <c:pt idx="119">
                  <c:v>0.53339999999999999</c:v>
                </c:pt>
                <c:pt idx="120">
                  <c:v>0.53659999999999997</c:v>
                </c:pt>
                <c:pt idx="121">
                  <c:v>0.54</c:v>
                </c:pt>
                <c:pt idx="122">
                  <c:v>0.54320000000000002</c:v>
                </c:pt>
                <c:pt idx="123">
                  <c:v>0.54339999999999999</c:v>
                </c:pt>
                <c:pt idx="124">
                  <c:v>0.54659999999999997</c:v>
                </c:pt>
                <c:pt idx="125">
                  <c:v>0.54679999999999995</c:v>
                </c:pt>
                <c:pt idx="126">
                  <c:v>0.55000000000000004</c:v>
                </c:pt>
                <c:pt idx="127">
                  <c:v>0.55320000000000003</c:v>
                </c:pt>
                <c:pt idx="128">
                  <c:v>0.56000000000000005</c:v>
                </c:pt>
                <c:pt idx="129">
                  <c:v>0.56020000000000003</c:v>
                </c:pt>
                <c:pt idx="130">
                  <c:v>0.56340000000000001</c:v>
                </c:pt>
                <c:pt idx="131">
                  <c:v>0.56659999999999999</c:v>
                </c:pt>
                <c:pt idx="132">
                  <c:v>0.56679999999999997</c:v>
                </c:pt>
                <c:pt idx="133">
                  <c:v>0.56999999999999995</c:v>
                </c:pt>
                <c:pt idx="134">
                  <c:v>0.57320000000000004</c:v>
                </c:pt>
                <c:pt idx="135">
                  <c:v>0.57340000000000002</c:v>
                </c:pt>
                <c:pt idx="136">
                  <c:v>0.5766</c:v>
                </c:pt>
                <c:pt idx="137">
                  <c:v>0.57679999999999998</c:v>
                </c:pt>
                <c:pt idx="138">
                  <c:v>0.57999999999999996</c:v>
                </c:pt>
                <c:pt idx="139">
                  <c:v>0.58020000000000005</c:v>
                </c:pt>
                <c:pt idx="140">
                  <c:v>0.58320000000000005</c:v>
                </c:pt>
                <c:pt idx="141">
                  <c:v>0.58340000000000003</c:v>
                </c:pt>
                <c:pt idx="142">
                  <c:v>0.58660000000000001</c:v>
                </c:pt>
                <c:pt idx="143">
                  <c:v>0.58679999999999999</c:v>
                </c:pt>
                <c:pt idx="144">
                  <c:v>0.59319999999999995</c:v>
                </c:pt>
                <c:pt idx="145">
                  <c:v>0.59340000000000004</c:v>
                </c:pt>
                <c:pt idx="146">
                  <c:v>0.59660000000000002</c:v>
                </c:pt>
                <c:pt idx="147">
                  <c:v>0.5968</c:v>
                </c:pt>
                <c:pt idx="148">
                  <c:v>0.5998</c:v>
                </c:pt>
                <c:pt idx="149">
                  <c:v>0.6</c:v>
                </c:pt>
                <c:pt idx="150">
                  <c:v>0.60019999999999996</c:v>
                </c:pt>
                <c:pt idx="151">
                  <c:v>0.60319999999999996</c:v>
                </c:pt>
                <c:pt idx="152">
                  <c:v>0.60340000000000005</c:v>
                </c:pt>
                <c:pt idx="153">
                  <c:v>0.60680000000000001</c:v>
                </c:pt>
                <c:pt idx="154">
                  <c:v>0.61</c:v>
                </c:pt>
                <c:pt idx="155">
                  <c:v>0.61019999999999996</c:v>
                </c:pt>
                <c:pt idx="156">
                  <c:v>0.61319999999999997</c:v>
                </c:pt>
                <c:pt idx="157">
                  <c:v>0.61339999999999995</c:v>
                </c:pt>
                <c:pt idx="158">
                  <c:v>0.61660000000000004</c:v>
                </c:pt>
                <c:pt idx="159">
                  <c:v>0.61680000000000001</c:v>
                </c:pt>
                <c:pt idx="160">
                  <c:v>0.62</c:v>
                </c:pt>
                <c:pt idx="161">
                  <c:v>0.62019999999999997</c:v>
                </c:pt>
                <c:pt idx="162">
                  <c:v>0.62339999999999995</c:v>
                </c:pt>
                <c:pt idx="163">
                  <c:v>0.62660000000000005</c:v>
                </c:pt>
                <c:pt idx="164">
                  <c:v>0.62680000000000002</c:v>
                </c:pt>
                <c:pt idx="165">
                  <c:v>0.63</c:v>
                </c:pt>
                <c:pt idx="166">
                  <c:v>0.63319999999999999</c:v>
                </c:pt>
                <c:pt idx="167">
                  <c:v>0.63339999999999996</c:v>
                </c:pt>
                <c:pt idx="168">
                  <c:v>0.63680000000000003</c:v>
                </c:pt>
                <c:pt idx="169">
                  <c:v>0.64</c:v>
                </c:pt>
                <c:pt idx="170">
                  <c:v>0.64319999999999999</c:v>
                </c:pt>
                <c:pt idx="171">
                  <c:v>0.64339999999999997</c:v>
                </c:pt>
                <c:pt idx="172">
                  <c:v>0.64659999999999995</c:v>
                </c:pt>
                <c:pt idx="173">
                  <c:v>0.65</c:v>
                </c:pt>
                <c:pt idx="174">
                  <c:v>0.6502</c:v>
                </c:pt>
                <c:pt idx="175">
                  <c:v>0.6532</c:v>
                </c:pt>
                <c:pt idx="176">
                  <c:v>0.65339999999999998</c:v>
                </c:pt>
                <c:pt idx="177">
                  <c:v>0.66</c:v>
                </c:pt>
                <c:pt idx="178">
                  <c:v>0.66020000000000001</c:v>
                </c:pt>
                <c:pt idx="179">
                  <c:v>0.66339999999999999</c:v>
                </c:pt>
                <c:pt idx="180">
                  <c:v>0.66659999999999997</c:v>
                </c:pt>
                <c:pt idx="181">
                  <c:v>0.66679999999999995</c:v>
                </c:pt>
                <c:pt idx="182">
                  <c:v>0.67</c:v>
                </c:pt>
                <c:pt idx="183">
                  <c:v>0.67659999999999998</c:v>
                </c:pt>
                <c:pt idx="184">
                  <c:v>0.67679999999999996</c:v>
                </c:pt>
                <c:pt idx="185">
                  <c:v>0.68</c:v>
                </c:pt>
                <c:pt idx="186">
                  <c:v>0.68020000000000003</c:v>
                </c:pt>
                <c:pt idx="187">
                  <c:v>0.68320000000000003</c:v>
                </c:pt>
                <c:pt idx="188">
                  <c:v>0.68340000000000001</c:v>
                </c:pt>
                <c:pt idx="189">
                  <c:v>0.68679999999999997</c:v>
                </c:pt>
                <c:pt idx="190">
                  <c:v>0.69320000000000004</c:v>
                </c:pt>
                <c:pt idx="191">
                  <c:v>0.69340000000000002</c:v>
                </c:pt>
                <c:pt idx="192">
                  <c:v>0.6966</c:v>
                </c:pt>
                <c:pt idx="193">
                  <c:v>0.69679999999999997</c:v>
                </c:pt>
                <c:pt idx="194">
                  <c:v>0.7</c:v>
                </c:pt>
                <c:pt idx="195">
                  <c:v>0.70020000000000004</c:v>
                </c:pt>
                <c:pt idx="196">
                  <c:v>0.70679999999999998</c:v>
                </c:pt>
                <c:pt idx="197">
                  <c:v>0.71</c:v>
                </c:pt>
                <c:pt idx="198">
                  <c:v>0.71020000000000005</c:v>
                </c:pt>
                <c:pt idx="199">
                  <c:v>0.71340000000000003</c:v>
                </c:pt>
                <c:pt idx="200">
                  <c:v>0.71660000000000001</c:v>
                </c:pt>
                <c:pt idx="201">
                  <c:v>0.71679999999999999</c:v>
                </c:pt>
                <c:pt idx="202">
                  <c:v>0.72</c:v>
                </c:pt>
                <c:pt idx="203">
                  <c:v>0.72660000000000002</c:v>
                </c:pt>
                <c:pt idx="204">
                  <c:v>0.7268</c:v>
                </c:pt>
                <c:pt idx="205">
                  <c:v>0.73</c:v>
                </c:pt>
                <c:pt idx="206">
                  <c:v>0.73319999999999996</c:v>
                </c:pt>
                <c:pt idx="207">
                  <c:v>0.73340000000000005</c:v>
                </c:pt>
                <c:pt idx="208">
                  <c:v>0.73660000000000003</c:v>
                </c:pt>
                <c:pt idx="209">
                  <c:v>0.73680000000000001</c:v>
                </c:pt>
                <c:pt idx="210">
                  <c:v>0.74339999999999995</c:v>
                </c:pt>
                <c:pt idx="211">
                  <c:v>0.74660000000000004</c:v>
                </c:pt>
                <c:pt idx="212">
                  <c:v>0.74680000000000002</c:v>
                </c:pt>
                <c:pt idx="213">
                  <c:v>0.75</c:v>
                </c:pt>
                <c:pt idx="214">
                  <c:v>0.75019999999999998</c:v>
                </c:pt>
                <c:pt idx="215">
                  <c:v>0.76</c:v>
                </c:pt>
                <c:pt idx="216">
                  <c:v>0.76019999999999999</c:v>
                </c:pt>
                <c:pt idx="217">
                  <c:v>0.76339999999999997</c:v>
                </c:pt>
                <c:pt idx="218">
                  <c:v>0.76659999999999995</c:v>
                </c:pt>
                <c:pt idx="219">
                  <c:v>0.76680000000000004</c:v>
                </c:pt>
                <c:pt idx="220">
                  <c:v>0.77339999999999998</c:v>
                </c:pt>
                <c:pt idx="221">
                  <c:v>0.77659999999999996</c:v>
                </c:pt>
                <c:pt idx="222">
                  <c:v>0.77680000000000005</c:v>
                </c:pt>
                <c:pt idx="223">
                  <c:v>0.78</c:v>
                </c:pt>
                <c:pt idx="224">
                  <c:v>0.78339999999999999</c:v>
                </c:pt>
                <c:pt idx="225">
                  <c:v>0.78659999999999997</c:v>
                </c:pt>
                <c:pt idx="226">
                  <c:v>0.78680000000000005</c:v>
                </c:pt>
                <c:pt idx="227">
                  <c:v>0.79339999999999999</c:v>
                </c:pt>
                <c:pt idx="228">
                  <c:v>0.8</c:v>
                </c:pt>
                <c:pt idx="229">
                  <c:v>0.80020000000000002</c:v>
                </c:pt>
                <c:pt idx="230">
                  <c:v>0.8034</c:v>
                </c:pt>
                <c:pt idx="231">
                  <c:v>0.81</c:v>
                </c:pt>
                <c:pt idx="232">
                  <c:v>0.81340000000000001</c:v>
                </c:pt>
                <c:pt idx="233">
                  <c:v>0.81659999999999999</c:v>
                </c:pt>
                <c:pt idx="234">
                  <c:v>0.81679999999999997</c:v>
                </c:pt>
                <c:pt idx="235">
                  <c:v>0.8266</c:v>
                </c:pt>
                <c:pt idx="236">
                  <c:v>0.82679999999999998</c:v>
                </c:pt>
                <c:pt idx="237">
                  <c:v>0.83</c:v>
                </c:pt>
                <c:pt idx="238">
                  <c:v>0.83340000000000003</c:v>
                </c:pt>
                <c:pt idx="239">
                  <c:v>0.84340000000000004</c:v>
                </c:pt>
                <c:pt idx="240">
                  <c:v>0.85</c:v>
                </c:pt>
                <c:pt idx="241">
                  <c:v>0.85340000000000005</c:v>
                </c:pt>
                <c:pt idx="242">
                  <c:v>0.86</c:v>
                </c:pt>
                <c:pt idx="243">
                  <c:v>0.86660000000000004</c:v>
                </c:pt>
                <c:pt idx="244">
                  <c:v>0.86680000000000001</c:v>
                </c:pt>
                <c:pt idx="245">
                  <c:v>0.87</c:v>
                </c:pt>
                <c:pt idx="246">
                  <c:v>0.88</c:v>
                </c:pt>
                <c:pt idx="247">
                  <c:v>0.88339999999999996</c:v>
                </c:pt>
                <c:pt idx="248">
                  <c:v>0.89339999999999997</c:v>
                </c:pt>
                <c:pt idx="249">
                  <c:v>0.9</c:v>
                </c:pt>
                <c:pt idx="250">
                  <c:v>0.91</c:v>
                </c:pt>
                <c:pt idx="251">
                  <c:v>0.93340000000000001</c:v>
                </c:pt>
                <c:pt idx="252">
                  <c:v>0.95</c:v>
                </c:pt>
                <c:pt idx="253">
                  <c:v>0.96</c:v>
                </c:pt>
                <c:pt idx="254">
                  <c:v>1</c:v>
                </c:pt>
              </c:numCache>
            </c:numRef>
          </c:xVal>
          <c:yVal>
            <c:numRef>
              <c:f>'Figure D2a-D5-suppliers'!$EW$8:$EW$262</c:f>
              <c:numCache>
                <c:formatCode>General</c:formatCode>
                <c:ptCount val="255"/>
                <c:pt idx="0">
                  <c:v>0.75819999999999999</c:v>
                </c:pt>
                <c:pt idx="1">
                  <c:v>0.75229999999999997</c:v>
                </c:pt>
                <c:pt idx="2">
                  <c:v>0.74829999999999997</c:v>
                </c:pt>
                <c:pt idx="3">
                  <c:v>0.74619999999999997</c:v>
                </c:pt>
                <c:pt idx="4">
                  <c:v>0.7419</c:v>
                </c:pt>
                <c:pt idx="5">
                  <c:v>0.73970000000000002</c:v>
                </c:pt>
                <c:pt idx="6">
                  <c:v>0.73750000000000004</c:v>
                </c:pt>
                <c:pt idx="7">
                  <c:v>0.73750000000000004</c:v>
                </c:pt>
                <c:pt idx="8">
                  <c:v>0.73529999999999995</c:v>
                </c:pt>
                <c:pt idx="9">
                  <c:v>0.73299999999999998</c:v>
                </c:pt>
                <c:pt idx="10">
                  <c:v>0.73070000000000002</c:v>
                </c:pt>
                <c:pt idx="11">
                  <c:v>0.73070000000000002</c:v>
                </c:pt>
                <c:pt idx="12">
                  <c:v>0.72950000000000004</c:v>
                </c:pt>
                <c:pt idx="13">
                  <c:v>0.72889999999999999</c:v>
                </c:pt>
                <c:pt idx="14">
                  <c:v>0.72840000000000005</c:v>
                </c:pt>
                <c:pt idx="15">
                  <c:v>0.72599999999999998</c:v>
                </c:pt>
                <c:pt idx="16">
                  <c:v>0.72599999999999998</c:v>
                </c:pt>
                <c:pt idx="17">
                  <c:v>0.72360000000000002</c:v>
                </c:pt>
                <c:pt idx="18">
                  <c:v>0.72360000000000002</c:v>
                </c:pt>
                <c:pt idx="19">
                  <c:v>0.72299999999999998</c:v>
                </c:pt>
                <c:pt idx="20">
                  <c:v>0.7218</c:v>
                </c:pt>
                <c:pt idx="21">
                  <c:v>0.72119999999999995</c:v>
                </c:pt>
                <c:pt idx="22">
                  <c:v>0.71870000000000001</c:v>
                </c:pt>
                <c:pt idx="23">
                  <c:v>0.71689999999999998</c:v>
                </c:pt>
                <c:pt idx="24">
                  <c:v>0.71630000000000005</c:v>
                </c:pt>
                <c:pt idx="25">
                  <c:v>0.71619999999999995</c:v>
                </c:pt>
                <c:pt idx="26">
                  <c:v>0.71440000000000003</c:v>
                </c:pt>
                <c:pt idx="27">
                  <c:v>0.7137</c:v>
                </c:pt>
                <c:pt idx="28">
                  <c:v>0.7137</c:v>
                </c:pt>
                <c:pt idx="29">
                  <c:v>0.71179999999999999</c:v>
                </c:pt>
                <c:pt idx="30">
                  <c:v>0.71120000000000005</c:v>
                </c:pt>
                <c:pt idx="31">
                  <c:v>0.70989999999999998</c:v>
                </c:pt>
                <c:pt idx="32">
                  <c:v>0.70860000000000001</c:v>
                </c:pt>
                <c:pt idx="33">
                  <c:v>0.70860000000000001</c:v>
                </c:pt>
                <c:pt idx="34">
                  <c:v>0.70599999999999996</c:v>
                </c:pt>
                <c:pt idx="35">
                  <c:v>0.70599999999999996</c:v>
                </c:pt>
                <c:pt idx="36">
                  <c:v>0.70409999999999995</c:v>
                </c:pt>
                <c:pt idx="37">
                  <c:v>0.70340000000000003</c:v>
                </c:pt>
                <c:pt idx="38">
                  <c:v>0.70340000000000003</c:v>
                </c:pt>
                <c:pt idx="39">
                  <c:v>0.70279999999999998</c:v>
                </c:pt>
                <c:pt idx="40">
                  <c:v>0.70140000000000002</c:v>
                </c:pt>
                <c:pt idx="41">
                  <c:v>0.70079999999999998</c:v>
                </c:pt>
                <c:pt idx="42">
                  <c:v>0.70069999999999999</c:v>
                </c:pt>
                <c:pt idx="43">
                  <c:v>0.69869999999999999</c:v>
                </c:pt>
                <c:pt idx="44">
                  <c:v>0.69810000000000005</c:v>
                </c:pt>
                <c:pt idx="45">
                  <c:v>0.69799999999999995</c:v>
                </c:pt>
                <c:pt idx="46">
                  <c:v>0.69740000000000002</c:v>
                </c:pt>
                <c:pt idx="47">
                  <c:v>0.69669999999999999</c:v>
                </c:pt>
                <c:pt idx="48">
                  <c:v>0.69599999999999995</c:v>
                </c:pt>
                <c:pt idx="49">
                  <c:v>0.69540000000000002</c:v>
                </c:pt>
                <c:pt idx="50">
                  <c:v>0.69530000000000003</c:v>
                </c:pt>
                <c:pt idx="51">
                  <c:v>0.6946</c:v>
                </c:pt>
                <c:pt idx="52">
                  <c:v>0.69399999999999995</c:v>
                </c:pt>
                <c:pt idx="53">
                  <c:v>0.69259999999999999</c:v>
                </c:pt>
                <c:pt idx="54">
                  <c:v>0.69259999999999999</c:v>
                </c:pt>
                <c:pt idx="55">
                  <c:v>0.69189999999999996</c:v>
                </c:pt>
                <c:pt idx="56">
                  <c:v>0.69120000000000004</c:v>
                </c:pt>
                <c:pt idx="57">
                  <c:v>0.69059999999999999</c:v>
                </c:pt>
                <c:pt idx="58">
                  <c:v>0.6905</c:v>
                </c:pt>
                <c:pt idx="59">
                  <c:v>0.68979999999999997</c:v>
                </c:pt>
                <c:pt idx="60">
                  <c:v>0.68979999999999997</c:v>
                </c:pt>
                <c:pt idx="61">
                  <c:v>0.68920000000000003</c:v>
                </c:pt>
                <c:pt idx="62">
                  <c:v>0.68910000000000005</c:v>
                </c:pt>
                <c:pt idx="63">
                  <c:v>0.6885</c:v>
                </c:pt>
                <c:pt idx="64">
                  <c:v>0.68840000000000001</c:v>
                </c:pt>
                <c:pt idx="65">
                  <c:v>0.68779999999999997</c:v>
                </c:pt>
                <c:pt idx="66">
                  <c:v>0.68769999999999998</c:v>
                </c:pt>
                <c:pt idx="67">
                  <c:v>0.68710000000000004</c:v>
                </c:pt>
                <c:pt idx="68">
                  <c:v>0.68700000000000006</c:v>
                </c:pt>
                <c:pt idx="69">
                  <c:v>0.68700000000000006</c:v>
                </c:pt>
                <c:pt idx="70">
                  <c:v>0.68489999999999995</c:v>
                </c:pt>
                <c:pt idx="71">
                  <c:v>0.68420000000000003</c:v>
                </c:pt>
                <c:pt idx="72">
                  <c:v>0.68420000000000003</c:v>
                </c:pt>
                <c:pt idx="73">
                  <c:v>0.6835</c:v>
                </c:pt>
                <c:pt idx="74">
                  <c:v>0.68210000000000004</c:v>
                </c:pt>
                <c:pt idx="75">
                  <c:v>0.68140000000000001</c:v>
                </c:pt>
                <c:pt idx="76">
                  <c:v>0.68130000000000002</c:v>
                </c:pt>
                <c:pt idx="77">
                  <c:v>0.67989999999999995</c:v>
                </c:pt>
                <c:pt idx="78">
                  <c:v>0.67849999999999999</c:v>
                </c:pt>
                <c:pt idx="79">
                  <c:v>0.67849999999999999</c:v>
                </c:pt>
                <c:pt idx="80">
                  <c:v>0.67779999999999996</c:v>
                </c:pt>
                <c:pt idx="81">
                  <c:v>0.67779999999999996</c:v>
                </c:pt>
                <c:pt idx="82">
                  <c:v>0.67710000000000004</c:v>
                </c:pt>
                <c:pt idx="83">
                  <c:v>0.67700000000000005</c:v>
                </c:pt>
                <c:pt idx="84">
                  <c:v>0.67630000000000001</c:v>
                </c:pt>
                <c:pt idx="85">
                  <c:v>0.67630000000000001</c:v>
                </c:pt>
                <c:pt idx="86">
                  <c:v>0.67559999999999998</c:v>
                </c:pt>
                <c:pt idx="87">
                  <c:v>0.67559999999999998</c:v>
                </c:pt>
                <c:pt idx="88">
                  <c:v>0.67420000000000002</c:v>
                </c:pt>
                <c:pt idx="89">
                  <c:v>0.67410000000000003</c:v>
                </c:pt>
                <c:pt idx="90">
                  <c:v>0.6734</c:v>
                </c:pt>
                <c:pt idx="91">
                  <c:v>0.67269999999999996</c:v>
                </c:pt>
                <c:pt idx="92">
                  <c:v>0.67269999999999996</c:v>
                </c:pt>
                <c:pt idx="93">
                  <c:v>0.67200000000000004</c:v>
                </c:pt>
                <c:pt idx="94">
                  <c:v>0.67200000000000004</c:v>
                </c:pt>
                <c:pt idx="95">
                  <c:v>0.67049999999999998</c:v>
                </c:pt>
                <c:pt idx="96">
                  <c:v>0.6704</c:v>
                </c:pt>
                <c:pt idx="97">
                  <c:v>0.66969999999999996</c:v>
                </c:pt>
                <c:pt idx="98">
                  <c:v>0.66969999999999996</c:v>
                </c:pt>
                <c:pt idx="99">
                  <c:v>0.66900000000000004</c:v>
                </c:pt>
                <c:pt idx="100">
                  <c:v>0.66900000000000004</c:v>
                </c:pt>
                <c:pt idx="101">
                  <c:v>0.66749999999999998</c:v>
                </c:pt>
                <c:pt idx="102">
                  <c:v>0.66679999999999995</c:v>
                </c:pt>
                <c:pt idx="103">
                  <c:v>0.66679999999999995</c:v>
                </c:pt>
                <c:pt idx="104">
                  <c:v>0.66600000000000004</c:v>
                </c:pt>
                <c:pt idx="105">
                  <c:v>0.66600000000000004</c:v>
                </c:pt>
                <c:pt idx="106">
                  <c:v>0.6653</c:v>
                </c:pt>
                <c:pt idx="107">
                  <c:v>0.66379999999999995</c:v>
                </c:pt>
                <c:pt idx="108">
                  <c:v>0.66369999999999996</c:v>
                </c:pt>
                <c:pt idx="109">
                  <c:v>0.66300000000000003</c:v>
                </c:pt>
                <c:pt idx="110">
                  <c:v>0.66149999999999998</c:v>
                </c:pt>
                <c:pt idx="111">
                  <c:v>0.66149999999999998</c:v>
                </c:pt>
                <c:pt idx="112">
                  <c:v>0.66080000000000005</c:v>
                </c:pt>
                <c:pt idx="113">
                  <c:v>0.66069999999999995</c:v>
                </c:pt>
                <c:pt idx="114">
                  <c:v>0.66</c:v>
                </c:pt>
                <c:pt idx="115">
                  <c:v>0.6593</c:v>
                </c:pt>
                <c:pt idx="116">
                  <c:v>0.65920000000000001</c:v>
                </c:pt>
                <c:pt idx="117">
                  <c:v>0.65849999999999997</c:v>
                </c:pt>
                <c:pt idx="118">
                  <c:v>0.65769999999999995</c:v>
                </c:pt>
                <c:pt idx="119">
                  <c:v>0.65769999999999995</c:v>
                </c:pt>
                <c:pt idx="120">
                  <c:v>0.65700000000000003</c:v>
                </c:pt>
                <c:pt idx="121">
                  <c:v>0.65620000000000001</c:v>
                </c:pt>
                <c:pt idx="122">
                  <c:v>0.65539999999999998</c:v>
                </c:pt>
                <c:pt idx="123">
                  <c:v>0.65539999999999998</c:v>
                </c:pt>
                <c:pt idx="124">
                  <c:v>0.65469999999999995</c:v>
                </c:pt>
                <c:pt idx="125">
                  <c:v>0.65459999999999996</c:v>
                </c:pt>
                <c:pt idx="126">
                  <c:v>0.65390000000000004</c:v>
                </c:pt>
                <c:pt idx="127">
                  <c:v>0.65310000000000001</c:v>
                </c:pt>
                <c:pt idx="128">
                  <c:v>0.65159999999999996</c:v>
                </c:pt>
                <c:pt idx="129">
                  <c:v>0.65149999999999997</c:v>
                </c:pt>
                <c:pt idx="130">
                  <c:v>0.65080000000000005</c:v>
                </c:pt>
                <c:pt idx="131">
                  <c:v>0.65</c:v>
                </c:pt>
                <c:pt idx="132">
                  <c:v>0.65</c:v>
                </c:pt>
                <c:pt idx="133">
                  <c:v>0.6492</c:v>
                </c:pt>
                <c:pt idx="134">
                  <c:v>0.64849999999999997</c:v>
                </c:pt>
                <c:pt idx="135">
                  <c:v>0.64839999999999998</c:v>
                </c:pt>
                <c:pt idx="136">
                  <c:v>0.64770000000000005</c:v>
                </c:pt>
                <c:pt idx="137">
                  <c:v>0.64759999999999995</c:v>
                </c:pt>
                <c:pt idx="138">
                  <c:v>0.64690000000000003</c:v>
                </c:pt>
                <c:pt idx="139">
                  <c:v>0.64680000000000004</c:v>
                </c:pt>
                <c:pt idx="140">
                  <c:v>0.64610000000000001</c:v>
                </c:pt>
                <c:pt idx="141">
                  <c:v>0.64610000000000001</c:v>
                </c:pt>
                <c:pt idx="142">
                  <c:v>0.64529999999999998</c:v>
                </c:pt>
                <c:pt idx="143">
                  <c:v>0.64529999999999998</c:v>
                </c:pt>
                <c:pt idx="144">
                  <c:v>0.64380000000000004</c:v>
                </c:pt>
                <c:pt idx="145">
                  <c:v>0.64370000000000005</c:v>
                </c:pt>
                <c:pt idx="146">
                  <c:v>0.64300000000000002</c:v>
                </c:pt>
                <c:pt idx="147">
                  <c:v>0.64290000000000003</c:v>
                </c:pt>
                <c:pt idx="148">
                  <c:v>0.64219999999999999</c:v>
                </c:pt>
                <c:pt idx="149">
                  <c:v>0.64219999999999999</c:v>
                </c:pt>
                <c:pt idx="150">
                  <c:v>0.6421</c:v>
                </c:pt>
                <c:pt idx="151">
                  <c:v>0.64139999999999997</c:v>
                </c:pt>
                <c:pt idx="152">
                  <c:v>0.64139999999999997</c:v>
                </c:pt>
                <c:pt idx="153">
                  <c:v>0.64049999999999996</c:v>
                </c:pt>
                <c:pt idx="154">
                  <c:v>0.63980000000000004</c:v>
                </c:pt>
                <c:pt idx="155">
                  <c:v>0.63970000000000005</c:v>
                </c:pt>
                <c:pt idx="156">
                  <c:v>0.63900000000000001</c:v>
                </c:pt>
                <c:pt idx="157">
                  <c:v>0.63900000000000001</c:v>
                </c:pt>
                <c:pt idx="158">
                  <c:v>0.63819999999999999</c:v>
                </c:pt>
                <c:pt idx="159">
                  <c:v>0.63819999999999999</c:v>
                </c:pt>
                <c:pt idx="160">
                  <c:v>0.63739999999999997</c:v>
                </c:pt>
                <c:pt idx="161">
                  <c:v>0.63729999999999998</c:v>
                </c:pt>
                <c:pt idx="162">
                  <c:v>0.63660000000000005</c:v>
                </c:pt>
                <c:pt idx="163">
                  <c:v>0.63580000000000003</c:v>
                </c:pt>
                <c:pt idx="164">
                  <c:v>0.63580000000000003</c:v>
                </c:pt>
                <c:pt idx="165">
                  <c:v>0.63500000000000001</c:v>
                </c:pt>
                <c:pt idx="166">
                  <c:v>0.63419999999999999</c:v>
                </c:pt>
                <c:pt idx="167">
                  <c:v>0.63419999999999999</c:v>
                </c:pt>
                <c:pt idx="168">
                  <c:v>0.63329999999999997</c:v>
                </c:pt>
                <c:pt idx="169">
                  <c:v>0.63260000000000005</c:v>
                </c:pt>
                <c:pt idx="170">
                  <c:v>0.63180000000000003</c:v>
                </c:pt>
                <c:pt idx="171">
                  <c:v>0.63180000000000003</c:v>
                </c:pt>
                <c:pt idx="172">
                  <c:v>0.63100000000000001</c:v>
                </c:pt>
                <c:pt idx="173">
                  <c:v>0.63009999999999999</c:v>
                </c:pt>
                <c:pt idx="174">
                  <c:v>0.63009999999999999</c:v>
                </c:pt>
                <c:pt idx="175">
                  <c:v>0.62939999999999996</c:v>
                </c:pt>
                <c:pt idx="176">
                  <c:v>0.62929999999999997</c:v>
                </c:pt>
                <c:pt idx="177">
                  <c:v>0.62770000000000004</c:v>
                </c:pt>
                <c:pt idx="178">
                  <c:v>0.62770000000000004</c:v>
                </c:pt>
                <c:pt idx="179">
                  <c:v>0.62690000000000001</c:v>
                </c:pt>
                <c:pt idx="180">
                  <c:v>0.62609999999999999</c:v>
                </c:pt>
                <c:pt idx="181">
                  <c:v>0.626</c:v>
                </c:pt>
                <c:pt idx="182">
                  <c:v>0.62529999999999997</c:v>
                </c:pt>
                <c:pt idx="183">
                  <c:v>0.62360000000000004</c:v>
                </c:pt>
                <c:pt idx="184">
                  <c:v>0.62360000000000004</c:v>
                </c:pt>
                <c:pt idx="185">
                  <c:v>0.62280000000000002</c:v>
                </c:pt>
                <c:pt idx="186">
                  <c:v>0.62280000000000002</c:v>
                </c:pt>
                <c:pt idx="187">
                  <c:v>0.622</c:v>
                </c:pt>
                <c:pt idx="188">
                  <c:v>0.622</c:v>
                </c:pt>
                <c:pt idx="189">
                  <c:v>0.62109999999999999</c:v>
                </c:pt>
                <c:pt idx="190">
                  <c:v>0.61950000000000005</c:v>
                </c:pt>
                <c:pt idx="191">
                  <c:v>0.61950000000000005</c:v>
                </c:pt>
                <c:pt idx="192">
                  <c:v>0.61870000000000003</c:v>
                </c:pt>
                <c:pt idx="193">
                  <c:v>0.61870000000000003</c:v>
                </c:pt>
                <c:pt idx="194">
                  <c:v>0.6179</c:v>
                </c:pt>
                <c:pt idx="195">
                  <c:v>0.61780000000000002</c:v>
                </c:pt>
                <c:pt idx="196">
                  <c:v>0.61619999999999997</c:v>
                </c:pt>
                <c:pt idx="197">
                  <c:v>0.61539999999999995</c:v>
                </c:pt>
                <c:pt idx="198">
                  <c:v>0.61529999999999996</c:v>
                </c:pt>
                <c:pt idx="199">
                  <c:v>0.61450000000000005</c:v>
                </c:pt>
                <c:pt idx="200">
                  <c:v>0.61370000000000002</c:v>
                </c:pt>
                <c:pt idx="201">
                  <c:v>0.61370000000000002</c:v>
                </c:pt>
                <c:pt idx="202">
                  <c:v>0.6129</c:v>
                </c:pt>
                <c:pt idx="203">
                  <c:v>0.61119999999999997</c:v>
                </c:pt>
                <c:pt idx="204">
                  <c:v>0.61119999999999997</c:v>
                </c:pt>
                <c:pt idx="205">
                  <c:v>0.61040000000000005</c:v>
                </c:pt>
                <c:pt idx="206">
                  <c:v>0.60960000000000003</c:v>
                </c:pt>
                <c:pt idx="207">
                  <c:v>0.60950000000000004</c:v>
                </c:pt>
                <c:pt idx="208">
                  <c:v>0.60870000000000002</c:v>
                </c:pt>
                <c:pt idx="209">
                  <c:v>0.60860000000000003</c:v>
                </c:pt>
                <c:pt idx="210">
                  <c:v>0.60699999999999998</c:v>
                </c:pt>
                <c:pt idx="211">
                  <c:v>0.60619999999999996</c:v>
                </c:pt>
                <c:pt idx="212">
                  <c:v>0.60609999999999997</c:v>
                </c:pt>
                <c:pt idx="213">
                  <c:v>0.60529999999999995</c:v>
                </c:pt>
                <c:pt idx="214">
                  <c:v>0.60529999999999995</c:v>
                </c:pt>
                <c:pt idx="215">
                  <c:v>0.6028</c:v>
                </c:pt>
                <c:pt idx="216">
                  <c:v>0.60270000000000001</c:v>
                </c:pt>
                <c:pt idx="217">
                  <c:v>0.60189999999999999</c:v>
                </c:pt>
                <c:pt idx="218">
                  <c:v>0.60109999999999997</c:v>
                </c:pt>
                <c:pt idx="219">
                  <c:v>0.60099999999999998</c:v>
                </c:pt>
                <c:pt idx="220">
                  <c:v>0.59940000000000004</c:v>
                </c:pt>
                <c:pt idx="221">
                  <c:v>0.59850000000000003</c:v>
                </c:pt>
                <c:pt idx="222">
                  <c:v>0.59850000000000003</c:v>
                </c:pt>
                <c:pt idx="223">
                  <c:v>0.59770000000000001</c:v>
                </c:pt>
                <c:pt idx="224">
                  <c:v>0.5968</c:v>
                </c:pt>
                <c:pt idx="225">
                  <c:v>0.59599999999999997</c:v>
                </c:pt>
                <c:pt idx="226">
                  <c:v>0.59589999999999999</c:v>
                </c:pt>
                <c:pt idx="227">
                  <c:v>0.59419999999999995</c:v>
                </c:pt>
                <c:pt idx="228">
                  <c:v>0.59250000000000003</c:v>
                </c:pt>
                <c:pt idx="229">
                  <c:v>0.59250000000000003</c:v>
                </c:pt>
                <c:pt idx="230">
                  <c:v>0.59160000000000001</c:v>
                </c:pt>
                <c:pt idx="231">
                  <c:v>0.58989999999999998</c:v>
                </c:pt>
                <c:pt idx="232">
                  <c:v>0.58909999999999996</c:v>
                </c:pt>
                <c:pt idx="233">
                  <c:v>0.58819999999999995</c:v>
                </c:pt>
                <c:pt idx="234">
                  <c:v>0.58819999999999995</c:v>
                </c:pt>
                <c:pt idx="235">
                  <c:v>0.58560000000000001</c:v>
                </c:pt>
                <c:pt idx="236">
                  <c:v>0.58560000000000001</c:v>
                </c:pt>
                <c:pt idx="237">
                  <c:v>0.5847</c:v>
                </c:pt>
                <c:pt idx="238">
                  <c:v>0.58389999999999997</c:v>
                </c:pt>
                <c:pt idx="239">
                  <c:v>0.58130000000000004</c:v>
                </c:pt>
                <c:pt idx="240">
                  <c:v>0.57950000000000002</c:v>
                </c:pt>
                <c:pt idx="241">
                  <c:v>0.5786</c:v>
                </c:pt>
                <c:pt idx="242">
                  <c:v>0.57689999999999997</c:v>
                </c:pt>
                <c:pt idx="243">
                  <c:v>0.57520000000000004</c:v>
                </c:pt>
                <c:pt idx="244">
                  <c:v>0.57509999999999994</c:v>
                </c:pt>
                <c:pt idx="245">
                  <c:v>0.57430000000000003</c:v>
                </c:pt>
                <c:pt idx="246">
                  <c:v>0.5716</c:v>
                </c:pt>
                <c:pt idx="247">
                  <c:v>0.57069999999999999</c:v>
                </c:pt>
                <c:pt idx="248">
                  <c:v>0.56810000000000005</c:v>
                </c:pt>
                <c:pt idx="249">
                  <c:v>0.56630000000000003</c:v>
                </c:pt>
                <c:pt idx="250">
                  <c:v>0.56369999999999998</c:v>
                </c:pt>
                <c:pt idx="251">
                  <c:v>0.55740000000000001</c:v>
                </c:pt>
                <c:pt idx="252">
                  <c:v>0.55300000000000005</c:v>
                </c:pt>
                <c:pt idx="253">
                  <c:v>0.55030000000000001</c:v>
                </c:pt>
                <c:pt idx="254">
                  <c:v>0.53949999999999998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D4-459D-9AEA-1ADA39F6FD4D}"/>
            </c:ext>
          </c:extLst>
        </c:ser>
        <c:ser>
          <c:idx val="2"/>
          <c:order val="1"/>
          <c:tx>
            <c:strRef>
              <c:f>'Figure D2a-D5-suppliers'!$EY$7</c:f>
              <c:strCache>
                <c:ptCount val="1"/>
                <c:pt idx="0">
                  <c:v>Bilateralism, private support</c:v>
                </c:pt>
              </c:strCache>
            </c:strRef>
          </c:tx>
          <c:spPr>
            <a:ln w="254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'Figure D2a-D5-suppliers'!$EV$8:$EV$262</c:f>
              <c:numCache>
                <c:formatCode>0.00</c:formatCode>
                <c:ptCount val="255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0.24</c:v>
                </c:pt>
                <c:pt idx="23">
                  <c:v>0.25</c:v>
                </c:pt>
                <c:pt idx="24">
                  <c:v>0.25319999999999998</c:v>
                </c:pt>
                <c:pt idx="25">
                  <c:v>0.25340000000000001</c:v>
                </c:pt>
                <c:pt idx="26">
                  <c:v>0.26340000000000002</c:v>
                </c:pt>
                <c:pt idx="27">
                  <c:v>0.2666</c:v>
                </c:pt>
                <c:pt idx="28">
                  <c:v>0.26679999999999998</c:v>
                </c:pt>
                <c:pt idx="29">
                  <c:v>0.27660000000000001</c:v>
                </c:pt>
                <c:pt idx="30">
                  <c:v>0.28000000000000003</c:v>
                </c:pt>
                <c:pt idx="31">
                  <c:v>0.28660000000000002</c:v>
                </c:pt>
                <c:pt idx="32">
                  <c:v>0.29320000000000002</c:v>
                </c:pt>
                <c:pt idx="33">
                  <c:v>0.29339999999999999</c:v>
                </c:pt>
                <c:pt idx="34">
                  <c:v>0.30659999999999998</c:v>
                </c:pt>
                <c:pt idx="35">
                  <c:v>0.30680000000000002</c:v>
                </c:pt>
                <c:pt idx="36">
                  <c:v>0.31659999999999999</c:v>
                </c:pt>
                <c:pt idx="37">
                  <c:v>0.31979999999999997</c:v>
                </c:pt>
                <c:pt idx="38">
                  <c:v>0.32</c:v>
                </c:pt>
                <c:pt idx="39">
                  <c:v>0.32319999999999999</c:v>
                </c:pt>
                <c:pt idx="40">
                  <c:v>0.33</c:v>
                </c:pt>
                <c:pt idx="41">
                  <c:v>0.3332</c:v>
                </c:pt>
                <c:pt idx="42">
                  <c:v>0.33339999999999997</c:v>
                </c:pt>
                <c:pt idx="43">
                  <c:v>0.34339999999999998</c:v>
                </c:pt>
                <c:pt idx="44">
                  <c:v>0.34660000000000002</c:v>
                </c:pt>
                <c:pt idx="45">
                  <c:v>0.3468</c:v>
                </c:pt>
                <c:pt idx="46">
                  <c:v>0.35</c:v>
                </c:pt>
                <c:pt idx="47">
                  <c:v>0.35339999999999999</c:v>
                </c:pt>
                <c:pt idx="48">
                  <c:v>0.35680000000000001</c:v>
                </c:pt>
                <c:pt idx="49">
                  <c:v>0.35980000000000001</c:v>
                </c:pt>
                <c:pt idx="50">
                  <c:v>0.36</c:v>
                </c:pt>
                <c:pt idx="51">
                  <c:v>0.3634</c:v>
                </c:pt>
                <c:pt idx="52">
                  <c:v>0.36659999999999998</c:v>
                </c:pt>
                <c:pt idx="53">
                  <c:v>0.37319999999999998</c:v>
                </c:pt>
                <c:pt idx="54">
                  <c:v>0.37340000000000001</c:v>
                </c:pt>
                <c:pt idx="55">
                  <c:v>0.37659999999999999</c:v>
                </c:pt>
                <c:pt idx="56">
                  <c:v>0.38</c:v>
                </c:pt>
                <c:pt idx="57">
                  <c:v>0.38319999999999999</c:v>
                </c:pt>
                <c:pt idx="58">
                  <c:v>0.38340000000000002</c:v>
                </c:pt>
                <c:pt idx="59">
                  <c:v>0.3866</c:v>
                </c:pt>
                <c:pt idx="60">
                  <c:v>0.38679999999999998</c:v>
                </c:pt>
                <c:pt idx="61">
                  <c:v>0.38979999999999998</c:v>
                </c:pt>
                <c:pt idx="62">
                  <c:v>0.39</c:v>
                </c:pt>
                <c:pt idx="63">
                  <c:v>0.39319999999999999</c:v>
                </c:pt>
                <c:pt idx="64">
                  <c:v>0.39340000000000003</c:v>
                </c:pt>
                <c:pt idx="65">
                  <c:v>0.39660000000000001</c:v>
                </c:pt>
                <c:pt idx="66">
                  <c:v>0.39679999999999999</c:v>
                </c:pt>
                <c:pt idx="67">
                  <c:v>0.39979999999999999</c:v>
                </c:pt>
                <c:pt idx="68">
                  <c:v>0.4</c:v>
                </c:pt>
                <c:pt idx="69">
                  <c:v>0.4002</c:v>
                </c:pt>
                <c:pt idx="70">
                  <c:v>0.41</c:v>
                </c:pt>
                <c:pt idx="71">
                  <c:v>0.41320000000000001</c:v>
                </c:pt>
                <c:pt idx="72">
                  <c:v>0.41339999999999999</c:v>
                </c:pt>
                <c:pt idx="73">
                  <c:v>0.41660000000000003</c:v>
                </c:pt>
                <c:pt idx="74">
                  <c:v>0.4234</c:v>
                </c:pt>
                <c:pt idx="75">
                  <c:v>0.42659999999999998</c:v>
                </c:pt>
                <c:pt idx="76">
                  <c:v>0.42680000000000001</c:v>
                </c:pt>
                <c:pt idx="77">
                  <c:v>0.43340000000000001</c:v>
                </c:pt>
                <c:pt idx="78">
                  <c:v>0.44</c:v>
                </c:pt>
                <c:pt idx="79">
                  <c:v>0.44019999999999998</c:v>
                </c:pt>
                <c:pt idx="80">
                  <c:v>0.44319999999999998</c:v>
                </c:pt>
                <c:pt idx="81">
                  <c:v>0.44340000000000002</c:v>
                </c:pt>
                <c:pt idx="82">
                  <c:v>0.4466</c:v>
                </c:pt>
                <c:pt idx="83">
                  <c:v>0.44679999999999997</c:v>
                </c:pt>
                <c:pt idx="84">
                  <c:v>0.45</c:v>
                </c:pt>
                <c:pt idx="85">
                  <c:v>0.45019999999999999</c:v>
                </c:pt>
                <c:pt idx="86">
                  <c:v>0.45319999999999999</c:v>
                </c:pt>
                <c:pt idx="87">
                  <c:v>0.45340000000000003</c:v>
                </c:pt>
                <c:pt idx="88">
                  <c:v>0.45979999999999999</c:v>
                </c:pt>
                <c:pt idx="89">
                  <c:v>0.46</c:v>
                </c:pt>
                <c:pt idx="90">
                  <c:v>0.46339999999999998</c:v>
                </c:pt>
                <c:pt idx="91">
                  <c:v>0.46660000000000001</c:v>
                </c:pt>
                <c:pt idx="92">
                  <c:v>0.46679999999999999</c:v>
                </c:pt>
                <c:pt idx="93">
                  <c:v>0.4698</c:v>
                </c:pt>
                <c:pt idx="94">
                  <c:v>0.47</c:v>
                </c:pt>
                <c:pt idx="95">
                  <c:v>0.47660000000000002</c:v>
                </c:pt>
                <c:pt idx="96">
                  <c:v>0.4768</c:v>
                </c:pt>
                <c:pt idx="97">
                  <c:v>0.48</c:v>
                </c:pt>
                <c:pt idx="98">
                  <c:v>0.48020000000000002</c:v>
                </c:pt>
                <c:pt idx="99">
                  <c:v>0.48320000000000002</c:v>
                </c:pt>
                <c:pt idx="100">
                  <c:v>0.4834</c:v>
                </c:pt>
                <c:pt idx="101">
                  <c:v>0.49</c:v>
                </c:pt>
                <c:pt idx="102">
                  <c:v>0.49320000000000003</c:v>
                </c:pt>
                <c:pt idx="103">
                  <c:v>0.49340000000000001</c:v>
                </c:pt>
                <c:pt idx="104">
                  <c:v>0.49659999999999999</c:v>
                </c:pt>
                <c:pt idx="105">
                  <c:v>0.49680000000000002</c:v>
                </c:pt>
                <c:pt idx="106">
                  <c:v>0.5</c:v>
                </c:pt>
                <c:pt idx="107">
                  <c:v>0.50660000000000005</c:v>
                </c:pt>
                <c:pt idx="108">
                  <c:v>0.50680000000000003</c:v>
                </c:pt>
                <c:pt idx="109">
                  <c:v>0.51</c:v>
                </c:pt>
                <c:pt idx="110">
                  <c:v>0.51659999999999995</c:v>
                </c:pt>
                <c:pt idx="111">
                  <c:v>0.51680000000000004</c:v>
                </c:pt>
                <c:pt idx="112">
                  <c:v>0.52</c:v>
                </c:pt>
                <c:pt idx="113">
                  <c:v>0.5202</c:v>
                </c:pt>
                <c:pt idx="114">
                  <c:v>0.52339999999999998</c:v>
                </c:pt>
                <c:pt idx="115">
                  <c:v>0.52659999999999996</c:v>
                </c:pt>
                <c:pt idx="116">
                  <c:v>0.52680000000000005</c:v>
                </c:pt>
                <c:pt idx="117">
                  <c:v>0.53</c:v>
                </c:pt>
                <c:pt idx="118">
                  <c:v>0.53320000000000001</c:v>
                </c:pt>
                <c:pt idx="119">
                  <c:v>0.53339999999999999</c:v>
                </c:pt>
                <c:pt idx="120">
                  <c:v>0.53659999999999997</c:v>
                </c:pt>
                <c:pt idx="121">
                  <c:v>0.54</c:v>
                </c:pt>
                <c:pt idx="122">
                  <c:v>0.54320000000000002</c:v>
                </c:pt>
                <c:pt idx="123">
                  <c:v>0.54339999999999999</c:v>
                </c:pt>
                <c:pt idx="124">
                  <c:v>0.54659999999999997</c:v>
                </c:pt>
                <c:pt idx="125">
                  <c:v>0.54679999999999995</c:v>
                </c:pt>
                <c:pt idx="126">
                  <c:v>0.55000000000000004</c:v>
                </c:pt>
                <c:pt idx="127">
                  <c:v>0.55320000000000003</c:v>
                </c:pt>
                <c:pt idx="128">
                  <c:v>0.56000000000000005</c:v>
                </c:pt>
                <c:pt idx="129">
                  <c:v>0.56020000000000003</c:v>
                </c:pt>
                <c:pt idx="130">
                  <c:v>0.56340000000000001</c:v>
                </c:pt>
                <c:pt idx="131">
                  <c:v>0.56659999999999999</c:v>
                </c:pt>
                <c:pt idx="132">
                  <c:v>0.56679999999999997</c:v>
                </c:pt>
                <c:pt idx="133">
                  <c:v>0.56999999999999995</c:v>
                </c:pt>
                <c:pt idx="134">
                  <c:v>0.57320000000000004</c:v>
                </c:pt>
                <c:pt idx="135">
                  <c:v>0.57340000000000002</c:v>
                </c:pt>
                <c:pt idx="136">
                  <c:v>0.5766</c:v>
                </c:pt>
                <c:pt idx="137">
                  <c:v>0.57679999999999998</c:v>
                </c:pt>
                <c:pt idx="138">
                  <c:v>0.57999999999999996</c:v>
                </c:pt>
                <c:pt idx="139">
                  <c:v>0.58020000000000005</c:v>
                </c:pt>
                <c:pt idx="140">
                  <c:v>0.58320000000000005</c:v>
                </c:pt>
                <c:pt idx="141">
                  <c:v>0.58340000000000003</c:v>
                </c:pt>
                <c:pt idx="142">
                  <c:v>0.58660000000000001</c:v>
                </c:pt>
                <c:pt idx="143">
                  <c:v>0.58679999999999999</c:v>
                </c:pt>
                <c:pt idx="144">
                  <c:v>0.59319999999999995</c:v>
                </c:pt>
                <c:pt idx="145">
                  <c:v>0.59340000000000004</c:v>
                </c:pt>
                <c:pt idx="146">
                  <c:v>0.59660000000000002</c:v>
                </c:pt>
                <c:pt idx="147">
                  <c:v>0.5968</c:v>
                </c:pt>
                <c:pt idx="148">
                  <c:v>0.5998</c:v>
                </c:pt>
                <c:pt idx="149">
                  <c:v>0.6</c:v>
                </c:pt>
                <c:pt idx="150">
                  <c:v>0.60019999999999996</c:v>
                </c:pt>
                <c:pt idx="151">
                  <c:v>0.60319999999999996</c:v>
                </c:pt>
                <c:pt idx="152">
                  <c:v>0.60340000000000005</c:v>
                </c:pt>
                <c:pt idx="153">
                  <c:v>0.60680000000000001</c:v>
                </c:pt>
                <c:pt idx="154">
                  <c:v>0.61</c:v>
                </c:pt>
                <c:pt idx="155">
                  <c:v>0.61019999999999996</c:v>
                </c:pt>
                <c:pt idx="156">
                  <c:v>0.61319999999999997</c:v>
                </c:pt>
                <c:pt idx="157">
                  <c:v>0.61339999999999995</c:v>
                </c:pt>
                <c:pt idx="158">
                  <c:v>0.61660000000000004</c:v>
                </c:pt>
                <c:pt idx="159">
                  <c:v>0.61680000000000001</c:v>
                </c:pt>
                <c:pt idx="160">
                  <c:v>0.62</c:v>
                </c:pt>
                <c:pt idx="161">
                  <c:v>0.62019999999999997</c:v>
                </c:pt>
                <c:pt idx="162">
                  <c:v>0.62339999999999995</c:v>
                </c:pt>
                <c:pt idx="163">
                  <c:v>0.62660000000000005</c:v>
                </c:pt>
                <c:pt idx="164">
                  <c:v>0.62680000000000002</c:v>
                </c:pt>
                <c:pt idx="165">
                  <c:v>0.63</c:v>
                </c:pt>
                <c:pt idx="166">
                  <c:v>0.63319999999999999</c:v>
                </c:pt>
                <c:pt idx="167">
                  <c:v>0.63339999999999996</c:v>
                </c:pt>
                <c:pt idx="168">
                  <c:v>0.63680000000000003</c:v>
                </c:pt>
                <c:pt idx="169">
                  <c:v>0.64</c:v>
                </c:pt>
                <c:pt idx="170">
                  <c:v>0.64319999999999999</c:v>
                </c:pt>
                <c:pt idx="171">
                  <c:v>0.64339999999999997</c:v>
                </c:pt>
                <c:pt idx="172">
                  <c:v>0.64659999999999995</c:v>
                </c:pt>
                <c:pt idx="173">
                  <c:v>0.65</c:v>
                </c:pt>
                <c:pt idx="174">
                  <c:v>0.6502</c:v>
                </c:pt>
                <c:pt idx="175">
                  <c:v>0.6532</c:v>
                </c:pt>
                <c:pt idx="176">
                  <c:v>0.65339999999999998</c:v>
                </c:pt>
                <c:pt idx="177">
                  <c:v>0.66</c:v>
                </c:pt>
                <c:pt idx="178">
                  <c:v>0.66020000000000001</c:v>
                </c:pt>
                <c:pt idx="179">
                  <c:v>0.66339999999999999</c:v>
                </c:pt>
                <c:pt idx="180">
                  <c:v>0.66659999999999997</c:v>
                </c:pt>
                <c:pt idx="181">
                  <c:v>0.66679999999999995</c:v>
                </c:pt>
                <c:pt idx="182">
                  <c:v>0.67</c:v>
                </c:pt>
                <c:pt idx="183">
                  <c:v>0.67659999999999998</c:v>
                </c:pt>
                <c:pt idx="184">
                  <c:v>0.67679999999999996</c:v>
                </c:pt>
                <c:pt idx="185">
                  <c:v>0.68</c:v>
                </c:pt>
                <c:pt idx="186">
                  <c:v>0.68020000000000003</c:v>
                </c:pt>
                <c:pt idx="187">
                  <c:v>0.68320000000000003</c:v>
                </c:pt>
                <c:pt idx="188">
                  <c:v>0.68340000000000001</c:v>
                </c:pt>
                <c:pt idx="189">
                  <c:v>0.68679999999999997</c:v>
                </c:pt>
                <c:pt idx="190">
                  <c:v>0.69320000000000004</c:v>
                </c:pt>
                <c:pt idx="191">
                  <c:v>0.69340000000000002</c:v>
                </c:pt>
                <c:pt idx="192">
                  <c:v>0.6966</c:v>
                </c:pt>
                <c:pt idx="193">
                  <c:v>0.69679999999999997</c:v>
                </c:pt>
                <c:pt idx="194">
                  <c:v>0.7</c:v>
                </c:pt>
                <c:pt idx="195">
                  <c:v>0.70020000000000004</c:v>
                </c:pt>
                <c:pt idx="196">
                  <c:v>0.70679999999999998</c:v>
                </c:pt>
                <c:pt idx="197">
                  <c:v>0.71</c:v>
                </c:pt>
                <c:pt idx="198">
                  <c:v>0.71020000000000005</c:v>
                </c:pt>
                <c:pt idx="199">
                  <c:v>0.71340000000000003</c:v>
                </c:pt>
                <c:pt idx="200">
                  <c:v>0.71660000000000001</c:v>
                </c:pt>
                <c:pt idx="201">
                  <c:v>0.71679999999999999</c:v>
                </c:pt>
                <c:pt idx="202">
                  <c:v>0.72</c:v>
                </c:pt>
                <c:pt idx="203">
                  <c:v>0.72660000000000002</c:v>
                </c:pt>
                <c:pt idx="204">
                  <c:v>0.7268</c:v>
                </c:pt>
                <c:pt idx="205">
                  <c:v>0.73</c:v>
                </c:pt>
                <c:pt idx="206">
                  <c:v>0.73319999999999996</c:v>
                </c:pt>
                <c:pt idx="207">
                  <c:v>0.73340000000000005</c:v>
                </c:pt>
                <c:pt idx="208">
                  <c:v>0.73660000000000003</c:v>
                </c:pt>
                <c:pt idx="209">
                  <c:v>0.73680000000000001</c:v>
                </c:pt>
                <c:pt idx="210">
                  <c:v>0.74339999999999995</c:v>
                </c:pt>
                <c:pt idx="211">
                  <c:v>0.74660000000000004</c:v>
                </c:pt>
                <c:pt idx="212">
                  <c:v>0.74680000000000002</c:v>
                </c:pt>
                <c:pt idx="213">
                  <c:v>0.75</c:v>
                </c:pt>
                <c:pt idx="214">
                  <c:v>0.75019999999999998</c:v>
                </c:pt>
                <c:pt idx="215">
                  <c:v>0.76</c:v>
                </c:pt>
                <c:pt idx="216">
                  <c:v>0.76019999999999999</c:v>
                </c:pt>
                <c:pt idx="217">
                  <c:v>0.76339999999999997</c:v>
                </c:pt>
                <c:pt idx="218">
                  <c:v>0.76659999999999995</c:v>
                </c:pt>
                <c:pt idx="219">
                  <c:v>0.76680000000000004</c:v>
                </c:pt>
                <c:pt idx="220">
                  <c:v>0.77339999999999998</c:v>
                </c:pt>
                <c:pt idx="221">
                  <c:v>0.77659999999999996</c:v>
                </c:pt>
                <c:pt idx="222">
                  <c:v>0.77680000000000005</c:v>
                </c:pt>
                <c:pt idx="223">
                  <c:v>0.78</c:v>
                </c:pt>
                <c:pt idx="224">
                  <c:v>0.78339999999999999</c:v>
                </c:pt>
                <c:pt idx="225">
                  <c:v>0.78659999999999997</c:v>
                </c:pt>
                <c:pt idx="226">
                  <c:v>0.78680000000000005</c:v>
                </c:pt>
                <c:pt idx="227">
                  <c:v>0.79339999999999999</c:v>
                </c:pt>
                <c:pt idx="228">
                  <c:v>0.8</c:v>
                </c:pt>
                <c:pt idx="229">
                  <c:v>0.80020000000000002</c:v>
                </c:pt>
                <c:pt idx="230">
                  <c:v>0.8034</c:v>
                </c:pt>
                <c:pt idx="231">
                  <c:v>0.81</c:v>
                </c:pt>
                <c:pt idx="232">
                  <c:v>0.81340000000000001</c:v>
                </c:pt>
                <c:pt idx="233">
                  <c:v>0.81659999999999999</c:v>
                </c:pt>
                <c:pt idx="234">
                  <c:v>0.81679999999999997</c:v>
                </c:pt>
                <c:pt idx="235">
                  <c:v>0.8266</c:v>
                </c:pt>
                <c:pt idx="236">
                  <c:v>0.82679999999999998</c:v>
                </c:pt>
                <c:pt idx="237">
                  <c:v>0.83</c:v>
                </c:pt>
                <c:pt idx="238">
                  <c:v>0.83340000000000003</c:v>
                </c:pt>
                <c:pt idx="239">
                  <c:v>0.84340000000000004</c:v>
                </c:pt>
                <c:pt idx="240">
                  <c:v>0.85</c:v>
                </c:pt>
                <c:pt idx="241">
                  <c:v>0.85340000000000005</c:v>
                </c:pt>
                <c:pt idx="242">
                  <c:v>0.86</c:v>
                </c:pt>
                <c:pt idx="243">
                  <c:v>0.86660000000000004</c:v>
                </c:pt>
                <c:pt idx="244">
                  <c:v>0.86680000000000001</c:v>
                </c:pt>
                <c:pt idx="245">
                  <c:v>0.87</c:v>
                </c:pt>
                <c:pt idx="246">
                  <c:v>0.88</c:v>
                </c:pt>
                <c:pt idx="247">
                  <c:v>0.88339999999999996</c:v>
                </c:pt>
                <c:pt idx="248">
                  <c:v>0.89339999999999997</c:v>
                </c:pt>
                <c:pt idx="249">
                  <c:v>0.9</c:v>
                </c:pt>
                <c:pt idx="250">
                  <c:v>0.91</c:v>
                </c:pt>
                <c:pt idx="251">
                  <c:v>0.93340000000000001</c:v>
                </c:pt>
                <c:pt idx="252">
                  <c:v>0.95</c:v>
                </c:pt>
                <c:pt idx="253">
                  <c:v>0.96</c:v>
                </c:pt>
                <c:pt idx="254">
                  <c:v>1</c:v>
                </c:pt>
              </c:numCache>
            </c:numRef>
          </c:xVal>
          <c:yVal>
            <c:numRef>
              <c:f>'Figure D2a-D5-suppliers'!$EY$8:$EY$262</c:f>
              <c:numCache>
                <c:formatCode>General</c:formatCode>
                <c:ptCount val="255"/>
                <c:pt idx="0">
                  <c:v>0.1089</c:v>
                </c:pt>
                <c:pt idx="1">
                  <c:v>0.11269999999999999</c:v>
                </c:pt>
                <c:pt idx="2">
                  <c:v>0.1153</c:v>
                </c:pt>
                <c:pt idx="3">
                  <c:v>0.1167</c:v>
                </c:pt>
                <c:pt idx="4">
                  <c:v>0.1193</c:v>
                </c:pt>
                <c:pt idx="5">
                  <c:v>0.1207</c:v>
                </c:pt>
                <c:pt idx="6">
                  <c:v>0.122</c:v>
                </c:pt>
                <c:pt idx="7">
                  <c:v>0.122</c:v>
                </c:pt>
                <c:pt idx="8">
                  <c:v>0.1234</c:v>
                </c:pt>
                <c:pt idx="9">
                  <c:v>0.12470000000000001</c:v>
                </c:pt>
                <c:pt idx="10">
                  <c:v>0.12609999999999999</c:v>
                </c:pt>
                <c:pt idx="11">
                  <c:v>0.12609999999999999</c:v>
                </c:pt>
                <c:pt idx="12">
                  <c:v>0.1268</c:v>
                </c:pt>
                <c:pt idx="13">
                  <c:v>0.12720000000000001</c:v>
                </c:pt>
                <c:pt idx="14">
                  <c:v>0.1275</c:v>
                </c:pt>
                <c:pt idx="15">
                  <c:v>0.12889999999999999</c:v>
                </c:pt>
                <c:pt idx="16">
                  <c:v>0.12889999999999999</c:v>
                </c:pt>
                <c:pt idx="17">
                  <c:v>0.1303</c:v>
                </c:pt>
                <c:pt idx="18">
                  <c:v>0.1303</c:v>
                </c:pt>
                <c:pt idx="19">
                  <c:v>0.13070000000000001</c:v>
                </c:pt>
                <c:pt idx="20">
                  <c:v>0.13139999999999999</c:v>
                </c:pt>
                <c:pt idx="21">
                  <c:v>0.13170000000000001</c:v>
                </c:pt>
                <c:pt idx="22">
                  <c:v>0.1331</c:v>
                </c:pt>
                <c:pt idx="23">
                  <c:v>0.13420000000000001</c:v>
                </c:pt>
                <c:pt idx="24">
                  <c:v>0.1346</c:v>
                </c:pt>
                <c:pt idx="25">
                  <c:v>0.1346</c:v>
                </c:pt>
                <c:pt idx="26">
                  <c:v>0.13569999999999999</c:v>
                </c:pt>
                <c:pt idx="27">
                  <c:v>0.13600000000000001</c:v>
                </c:pt>
                <c:pt idx="28">
                  <c:v>0.13600000000000001</c:v>
                </c:pt>
                <c:pt idx="29">
                  <c:v>0.1371</c:v>
                </c:pt>
                <c:pt idx="30">
                  <c:v>0.13739999999999999</c:v>
                </c:pt>
                <c:pt idx="31">
                  <c:v>0.13819999999999999</c:v>
                </c:pt>
                <c:pt idx="32">
                  <c:v>0.1389</c:v>
                </c:pt>
                <c:pt idx="33">
                  <c:v>0.1389</c:v>
                </c:pt>
                <c:pt idx="34">
                  <c:v>0.1404</c:v>
                </c:pt>
                <c:pt idx="35">
                  <c:v>0.1404</c:v>
                </c:pt>
                <c:pt idx="36">
                  <c:v>0.14149999999999999</c:v>
                </c:pt>
                <c:pt idx="37">
                  <c:v>0.14180000000000001</c:v>
                </c:pt>
                <c:pt idx="38">
                  <c:v>0.14180000000000001</c:v>
                </c:pt>
                <c:pt idx="39">
                  <c:v>0.14219999999999999</c:v>
                </c:pt>
                <c:pt idx="40">
                  <c:v>0.1429</c:v>
                </c:pt>
                <c:pt idx="41">
                  <c:v>0.14330000000000001</c:v>
                </c:pt>
                <c:pt idx="42">
                  <c:v>0.14330000000000001</c:v>
                </c:pt>
                <c:pt idx="43">
                  <c:v>0.1444</c:v>
                </c:pt>
                <c:pt idx="44">
                  <c:v>0.14480000000000001</c:v>
                </c:pt>
                <c:pt idx="45">
                  <c:v>0.14480000000000001</c:v>
                </c:pt>
                <c:pt idx="46">
                  <c:v>0.1452</c:v>
                </c:pt>
                <c:pt idx="47">
                  <c:v>0.14549999999999999</c:v>
                </c:pt>
                <c:pt idx="48">
                  <c:v>0.1459</c:v>
                </c:pt>
                <c:pt idx="49">
                  <c:v>0.14630000000000001</c:v>
                </c:pt>
                <c:pt idx="50">
                  <c:v>0.14630000000000001</c:v>
                </c:pt>
                <c:pt idx="51">
                  <c:v>0.1467</c:v>
                </c:pt>
                <c:pt idx="52">
                  <c:v>0.14699999999999999</c:v>
                </c:pt>
                <c:pt idx="53">
                  <c:v>0.14779999999999999</c:v>
                </c:pt>
                <c:pt idx="54">
                  <c:v>0.14779999999999999</c:v>
                </c:pt>
                <c:pt idx="55">
                  <c:v>0.14810000000000001</c:v>
                </c:pt>
                <c:pt idx="56">
                  <c:v>0.14849999999999999</c:v>
                </c:pt>
                <c:pt idx="57">
                  <c:v>0.1489</c:v>
                </c:pt>
                <c:pt idx="58">
                  <c:v>0.1489</c:v>
                </c:pt>
                <c:pt idx="59">
                  <c:v>0.14929999999999999</c:v>
                </c:pt>
                <c:pt idx="60">
                  <c:v>0.14929999999999999</c:v>
                </c:pt>
                <c:pt idx="61">
                  <c:v>0.14960000000000001</c:v>
                </c:pt>
                <c:pt idx="62">
                  <c:v>0.1497</c:v>
                </c:pt>
                <c:pt idx="63">
                  <c:v>0.15</c:v>
                </c:pt>
                <c:pt idx="64">
                  <c:v>0.15</c:v>
                </c:pt>
                <c:pt idx="65">
                  <c:v>0.15040000000000001</c:v>
                </c:pt>
                <c:pt idx="66">
                  <c:v>0.15040000000000001</c:v>
                </c:pt>
                <c:pt idx="67">
                  <c:v>0.15079999999999999</c:v>
                </c:pt>
                <c:pt idx="68">
                  <c:v>0.15079999999999999</c:v>
                </c:pt>
                <c:pt idx="69">
                  <c:v>0.15079999999999999</c:v>
                </c:pt>
                <c:pt idx="70">
                  <c:v>0.15190000000000001</c:v>
                </c:pt>
                <c:pt idx="71">
                  <c:v>0.15229999999999999</c:v>
                </c:pt>
                <c:pt idx="72">
                  <c:v>0.15229999999999999</c:v>
                </c:pt>
                <c:pt idx="73">
                  <c:v>0.1527</c:v>
                </c:pt>
                <c:pt idx="74">
                  <c:v>0.1535</c:v>
                </c:pt>
                <c:pt idx="75">
                  <c:v>0.15379999999999999</c:v>
                </c:pt>
                <c:pt idx="76">
                  <c:v>0.15379999999999999</c:v>
                </c:pt>
                <c:pt idx="77">
                  <c:v>0.15459999999999999</c:v>
                </c:pt>
                <c:pt idx="78">
                  <c:v>0.15540000000000001</c:v>
                </c:pt>
                <c:pt idx="79">
                  <c:v>0.15540000000000001</c:v>
                </c:pt>
                <c:pt idx="80">
                  <c:v>0.15570000000000001</c:v>
                </c:pt>
                <c:pt idx="81">
                  <c:v>0.15579999999999999</c:v>
                </c:pt>
                <c:pt idx="82">
                  <c:v>0.15609999999999999</c:v>
                </c:pt>
                <c:pt idx="83">
                  <c:v>0.15609999999999999</c:v>
                </c:pt>
                <c:pt idx="84">
                  <c:v>0.1565</c:v>
                </c:pt>
                <c:pt idx="85">
                  <c:v>0.1565</c:v>
                </c:pt>
                <c:pt idx="86">
                  <c:v>0.15690000000000001</c:v>
                </c:pt>
                <c:pt idx="87">
                  <c:v>0.15690000000000001</c:v>
                </c:pt>
                <c:pt idx="88">
                  <c:v>0.15770000000000001</c:v>
                </c:pt>
                <c:pt idx="89">
                  <c:v>0.15770000000000001</c:v>
                </c:pt>
                <c:pt idx="90">
                  <c:v>0.15809999999999999</c:v>
                </c:pt>
                <c:pt idx="91">
                  <c:v>0.15840000000000001</c:v>
                </c:pt>
                <c:pt idx="92">
                  <c:v>0.1585</c:v>
                </c:pt>
                <c:pt idx="93">
                  <c:v>0.1588</c:v>
                </c:pt>
                <c:pt idx="94">
                  <c:v>0.1588</c:v>
                </c:pt>
                <c:pt idx="95">
                  <c:v>0.15959999999999999</c:v>
                </c:pt>
                <c:pt idx="96">
                  <c:v>0.15959999999999999</c:v>
                </c:pt>
                <c:pt idx="97">
                  <c:v>0.16</c:v>
                </c:pt>
                <c:pt idx="98">
                  <c:v>0.16</c:v>
                </c:pt>
                <c:pt idx="99">
                  <c:v>0.16039999999999999</c:v>
                </c:pt>
                <c:pt idx="100">
                  <c:v>0.16039999999999999</c:v>
                </c:pt>
                <c:pt idx="101">
                  <c:v>0.16120000000000001</c:v>
                </c:pt>
                <c:pt idx="102">
                  <c:v>0.1615</c:v>
                </c:pt>
                <c:pt idx="103">
                  <c:v>0.16159999999999999</c:v>
                </c:pt>
                <c:pt idx="104">
                  <c:v>0.16189999999999999</c:v>
                </c:pt>
                <c:pt idx="105">
                  <c:v>0.16200000000000001</c:v>
                </c:pt>
                <c:pt idx="106">
                  <c:v>0.1623</c:v>
                </c:pt>
                <c:pt idx="107">
                  <c:v>0.16309999999999999</c:v>
                </c:pt>
                <c:pt idx="108">
                  <c:v>0.16309999999999999</c:v>
                </c:pt>
                <c:pt idx="109">
                  <c:v>0.16350000000000001</c:v>
                </c:pt>
                <c:pt idx="110">
                  <c:v>0.1643</c:v>
                </c:pt>
                <c:pt idx="111">
                  <c:v>0.1643</c:v>
                </c:pt>
                <c:pt idx="112">
                  <c:v>0.16470000000000001</c:v>
                </c:pt>
                <c:pt idx="113">
                  <c:v>0.16470000000000001</c:v>
                </c:pt>
                <c:pt idx="114">
                  <c:v>0.1651</c:v>
                </c:pt>
                <c:pt idx="115">
                  <c:v>0.16550000000000001</c:v>
                </c:pt>
                <c:pt idx="116">
                  <c:v>0.16550000000000001</c:v>
                </c:pt>
                <c:pt idx="117">
                  <c:v>0.16589999999999999</c:v>
                </c:pt>
                <c:pt idx="118">
                  <c:v>0.16619999999999999</c:v>
                </c:pt>
                <c:pt idx="119">
                  <c:v>0.1663</c:v>
                </c:pt>
                <c:pt idx="120">
                  <c:v>0.1666</c:v>
                </c:pt>
                <c:pt idx="121">
                  <c:v>0.1671</c:v>
                </c:pt>
                <c:pt idx="122">
                  <c:v>0.16739999999999999</c:v>
                </c:pt>
                <c:pt idx="123">
                  <c:v>0.16750000000000001</c:v>
                </c:pt>
                <c:pt idx="124">
                  <c:v>0.1678</c:v>
                </c:pt>
                <c:pt idx="125">
                  <c:v>0.16789999999999999</c:v>
                </c:pt>
                <c:pt idx="126">
                  <c:v>0.16819999999999999</c:v>
                </c:pt>
                <c:pt idx="127">
                  <c:v>0.1686</c:v>
                </c:pt>
                <c:pt idx="128">
                  <c:v>0.1694</c:v>
                </c:pt>
                <c:pt idx="129">
                  <c:v>0.16950000000000001</c:v>
                </c:pt>
                <c:pt idx="130">
                  <c:v>0.16980000000000001</c:v>
                </c:pt>
                <c:pt idx="131">
                  <c:v>0.17019999999999999</c:v>
                </c:pt>
                <c:pt idx="132">
                  <c:v>0.17019999999999999</c:v>
                </c:pt>
                <c:pt idx="133">
                  <c:v>0.1706</c:v>
                </c:pt>
                <c:pt idx="134">
                  <c:v>0.17100000000000001</c:v>
                </c:pt>
                <c:pt idx="135">
                  <c:v>0.17100000000000001</c:v>
                </c:pt>
                <c:pt idx="136">
                  <c:v>0.1714</c:v>
                </c:pt>
                <c:pt idx="137">
                  <c:v>0.1714</c:v>
                </c:pt>
                <c:pt idx="138">
                  <c:v>0.17180000000000001</c:v>
                </c:pt>
                <c:pt idx="139">
                  <c:v>0.17180000000000001</c:v>
                </c:pt>
                <c:pt idx="140">
                  <c:v>0.17219999999999999</c:v>
                </c:pt>
                <c:pt idx="141">
                  <c:v>0.17219999999999999</c:v>
                </c:pt>
                <c:pt idx="142">
                  <c:v>0.1726</c:v>
                </c:pt>
                <c:pt idx="143">
                  <c:v>0.1726</c:v>
                </c:pt>
                <c:pt idx="144">
                  <c:v>0.1734</c:v>
                </c:pt>
                <c:pt idx="145">
                  <c:v>0.1734</c:v>
                </c:pt>
                <c:pt idx="146">
                  <c:v>0.17380000000000001</c:v>
                </c:pt>
                <c:pt idx="147">
                  <c:v>0.17380000000000001</c:v>
                </c:pt>
                <c:pt idx="148">
                  <c:v>0.17419999999999999</c:v>
                </c:pt>
                <c:pt idx="149">
                  <c:v>0.17419999999999999</c:v>
                </c:pt>
                <c:pt idx="150">
                  <c:v>0.17419999999999999</c:v>
                </c:pt>
                <c:pt idx="151">
                  <c:v>0.17460000000000001</c:v>
                </c:pt>
                <c:pt idx="152">
                  <c:v>0.17460000000000001</c:v>
                </c:pt>
                <c:pt idx="153">
                  <c:v>0.17499999999999999</c:v>
                </c:pt>
                <c:pt idx="154">
                  <c:v>0.1754</c:v>
                </c:pt>
                <c:pt idx="155">
                  <c:v>0.1754</c:v>
                </c:pt>
                <c:pt idx="156">
                  <c:v>0.17580000000000001</c:v>
                </c:pt>
                <c:pt idx="157">
                  <c:v>0.17580000000000001</c:v>
                </c:pt>
                <c:pt idx="158">
                  <c:v>0.1762</c:v>
                </c:pt>
                <c:pt idx="159">
                  <c:v>0.1762</c:v>
                </c:pt>
                <c:pt idx="160">
                  <c:v>0.17660000000000001</c:v>
                </c:pt>
                <c:pt idx="161">
                  <c:v>0.1767</c:v>
                </c:pt>
                <c:pt idx="162">
                  <c:v>0.17699999999999999</c:v>
                </c:pt>
                <c:pt idx="163">
                  <c:v>0.1774</c:v>
                </c:pt>
                <c:pt idx="164">
                  <c:v>0.1774</c:v>
                </c:pt>
                <c:pt idx="165">
                  <c:v>0.17780000000000001</c:v>
                </c:pt>
                <c:pt idx="166">
                  <c:v>0.1782</c:v>
                </c:pt>
                <c:pt idx="167">
                  <c:v>0.1782</c:v>
                </c:pt>
                <c:pt idx="168">
                  <c:v>0.1787</c:v>
                </c:pt>
                <c:pt idx="169">
                  <c:v>0.17899999999999999</c:v>
                </c:pt>
                <c:pt idx="170">
                  <c:v>0.1794</c:v>
                </c:pt>
                <c:pt idx="171">
                  <c:v>0.17949999999999999</c:v>
                </c:pt>
                <c:pt idx="172">
                  <c:v>0.17979999999999999</c:v>
                </c:pt>
                <c:pt idx="173">
                  <c:v>0.18029999999999999</c:v>
                </c:pt>
                <c:pt idx="174">
                  <c:v>0.18029999999999999</c:v>
                </c:pt>
                <c:pt idx="175">
                  <c:v>0.1807</c:v>
                </c:pt>
                <c:pt idx="176">
                  <c:v>0.1807</c:v>
                </c:pt>
                <c:pt idx="177">
                  <c:v>0.18149999999999999</c:v>
                </c:pt>
                <c:pt idx="178">
                  <c:v>0.18149999999999999</c:v>
                </c:pt>
                <c:pt idx="179">
                  <c:v>0.18190000000000001</c:v>
                </c:pt>
                <c:pt idx="180">
                  <c:v>0.18229999999999999</c:v>
                </c:pt>
                <c:pt idx="181">
                  <c:v>0.18229999999999999</c:v>
                </c:pt>
                <c:pt idx="182">
                  <c:v>0.1827</c:v>
                </c:pt>
                <c:pt idx="183">
                  <c:v>0.1835</c:v>
                </c:pt>
                <c:pt idx="184">
                  <c:v>0.1835</c:v>
                </c:pt>
                <c:pt idx="185">
                  <c:v>0.18390000000000001</c:v>
                </c:pt>
                <c:pt idx="186">
                  <c:v>0.18390000000000001</c:v>
                </c:pt>
                <c:pt idx="187">
                  <c:v>0.18429999999999999</c:v>
                </c:pt>
                <c:pt idx="188">
                  <c:v>0.18429999999999999</c:v>
                </c:pt>
                <c:pt idx="189">
                  <c:v>0.1847</c:v>
                </c:pt>
                <c:pt idx="190">
                  <c:v>0.1855</c:v>
                </c:pt>
                <c:pt idx="191">
                  <c:v>0.18559999999999999</c:v>
                </c:pt>
                <c:pt idx="192">
                  <c:v>0.18590000000000001</c:v>
                </c:pt>
                <c:pt idx="193">
                  <c:v>0.186</c:v>
                </c:pt>
                <c:pt idx="194">
                  <c:v>0.18640000000000001</c:v>
                </c:pt>
                <c:pt idx="195">
                  <c:v>0.18640000000000001</c:v>
                </c:pt>
                <c:pt idx="196">
                  <c:v>0.18720000000000001</c:v>
                </c:pt>
                <c:pt idx="197">
                  <c:v>0.18759999999999999</c:v>
                </c:pt>
                <c:pt idx="198">
                  <c:v>0.18759999999999999</c:v>
                </c:pt>
                <c:pt idx="199">
                  <c:v>0.188</c:v>
                </c:pt>
                <c:pt idx="200">
                  <c:v>0.18840000000000001</c:v>
                </c:pt>
                <c:pt idx="201">
                  <c:v>0.18840000000000001</c:v>
                </c:pt>
                <c:pt idx="202">
                  <c:v>0.1888</c:v>
                </c:pt>
                <c:pt idx="203">
                  <c:v>0.18959999999999999</c:v>
                </c:pt>
                <c:pt idx="204">
                  <c:v>0.18970000000000001</c:v>
                </c:pt>
                <c:pt idx="205">
                  <c:v>0.19</c:v>
                </c:pt>
                <c:pt idx="206">
                  <c:v>0.19040000000000001</c:v>
                </c:pt>
                <c:pt idx="207">
                  <c:v>0.1905</c:v>
                </c:pt>
                <c:pt idx="208">
                  <c:v>0.19089999999999999</c:v>
                </c:pt>
                <c:pt idx="209">
                  <c:v>0.19089999999999999</c:v>
                </c:pt>
                <c:pt idx="210">
                  <c:v>0.19170000000000001</c:v>
                </c:pt>
                <c:pt idx="211">
                  <c:v>0.19209999999999999</c:v>
                </c:pt>
                <c:pt idx="212">
                  <c:v>0.19209999999999999</c:v>
                </c:pt>
                <c:pt idx="213">
                  <c:v>0.1925</c:v>
                </c:pt>
                <c:pt idx="214">
                  <c:v>0.1925</c:v>
                </c:pt>
                <c:pt idx="215">
                  <c:v>0.1938</c:v>
                </c:pt>
                <c:pt idx="216">
                  <c:v>0.1938</c:v>
                </c:pt>
                <c:pt idx="217">
                  <c:v>0.19420000000000001</c:v>
                </c:pt>
                <c:pt idx="218">
                  <c:v>0.1946</c:v>
                </c:pt>
                <c:pt idx="219">
                  <c:v>0.1946</c:v>
                </c:pt>
                <c:pt idx="220">
                  <c:v>0.19539999999999999</c:v>
                </c:pt>
                <c:pt idx="221">
                  <c:v>0.1958</c:v>
                </c:pt>
                <c:pt idx="222">
                  <c:v>0.1958</c:v>
                </c:pt>
                <c:pt idx="223">
                  <c:v>0.19620000000000001</c:v>
                </c:pt>
                <c:pt idx="224">
                  <c:v>0.1966</c:v>
                </c:pt>
                <c:pt idx="225">
                  <c:v>0.19700000000000001</c:v>
                </c:pt>
                <c:pt idx="226">
                  <c:v>0.1971</c:v>
                </c:pt>
                <c:pt idx="227">
                  <c:v>0.19789999999999999</c:v>
                </c:pt>
                <c:pt idx="228">
                  <c:v>0.19869999999999999</c:v>
                </c:pt>
                <c:pt idx="229">
                  <c:v>0.19869999999999999</c:v>
                </c:pt>
                <c:pt idx="230">
                  <c:v>0.1991</c:v>
                </c:pt>
                <c:pt idx="231">
                  <c:v>0.19989999999999999</c:v>
                </c:pt>
                <c:pt idx="232">
                  <c:v>0.20039999999999999</c:v>
                </c:pt>
                <c:pt idx="233">
                  <c:v>0.20080000000000001</c:v>
                </c:pt>
                <c:pt idx="234">
                  <c:v>0.20080000000000001</c:v>
                </c:pt>
                <c:pt idx="235">
                  <c:v>0.20200000000000001</c:v>
                </c:pt>
                <c:pt idx="236">
                  <c:v>0.20200000000000001</c:v>
                </c:pt>
                <c:pt idx="237">
                  <c:v>0.2024</c:v>
                </c:pt>
                <c:pt idx="238">
                  <c:v>0.2029</c:v>
                </c:pt>
                <c:pt idx="239">
                  <c:v>0.2041</c:v>
                </c:pt>
                <c:pt idx="240">
                  <c:v>0.2049</c:v>
                </c:pt>
                <c:pt idx="241">
                  <c:v>0.20530000000000001</c:v>
                </c:pt>
                <c:pt idx="242">
                  <c:v>0.20619999999999999</c:v>
                </c:pt>
                <c:pt idx="243">
                  <c:v>0.20699999999999999</c:v>
                </c:pt>
                <c:pt idx="244">
                  <c:v>0.20699999999999999</c:v>
                </c:pt>
                <c:pt idx="245">
                  <c:v>0.2074</c:v>
                </c:pt>
                <c:pt idx="246">
                  <c:v>0.2087</c:v>
                </c:pt>
                <c:pt idx="247">
                  <c:v>0.20910000000000001</c:v>
                </c:pt>
                <c:pt idx="248">
                  <c:v>0.21029999999999999</c:v>
                </c:pt>
                <c:pt idx="249">
                  <c:v>0.2112</c:v>
                </c:pt>
                <c:pt idx="250">
                  <c:v>0.21240000000000001</c:v>
                </c:pt>
                <c:pt idx="251">
                  <c:v>0.21529999999999999</c:v>
                </c:pt>
                <c:pt idx="252">
                  <c:v>0.21740000000000001</c:v>
                </c:pt>
                <c:pt idx="253">
                  <c:v>0.21859999999999999</c:v>
                </c:pt>
                <c:pt idx="254">
                  <c:v>0.22359999999999999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D4-459D-9AEA-1ADA39F6FD4D}"/>
            </c:ext>
          </c:extLst>
        </c:ser>
        <c:ser>
          <c:idx val="3"/>
          <c:order val="2"/>
          <c:tx>
            <c:strRef>
              <c:f>'Figure D2a-D5-suppliers'!$FA$7</c:f>
              <c:strCache>
                <c:ptCount val="1"/>
                <c:pt idx="0">
                  <c:v>Bilateralism, legal support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'Figure D2a-D5-suppliers'!$EV$8:$EV$262</c:f>
              <c:numCache>
                <c:formatCode>0.00</c:formatCode>
                <c:ptCount val="255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0.24</c:v>
                </c:pt>
                <c:pt idx="23">
                  <c:v>0.25</c:v>
                </c:pt>
                <c:pt idx="24">
                  <c:v>0.25319999999999998</c:v>
                </c:pt>
                <c:pt idx="25">
                  <c:v>0.25340000000000001</c:v>
                </c:pt>
                <c:pt idx="26">
                  <c:v>0.26340000000000002</c:v>
                </c:pt>
                <c:pt idx="27">
                  <c:v>0.2666</c:v>
                </c:pt>
                <c:pt idx="28">
                  <c:v>0.26679999999999998</c:v>
                </c:pt>
                <c:pt idx="29">
                  <c:v>0.27660000000000001</c:v>
                </c:pt>
                <c:pt idx="30">
                  <c:v>0.28000000000000003</c:v>
                </c:pt>
                <c:pt idx="31">
                  <c:v>0.28660000000000002</c:v>
                </c:pt>
                <c:pt idx="32">
                  <c:v>0.29320000000000002</c:v>
                </c:pt>
                <c:pt idx="33">
                  <c:v>0.29339999999999999</c:v>
                </c:pt>
                <c:pt idx="34">
                  <c:v>0.30659999999999998</c:v>
                </c:pt>
                <c:pt idx="35">
                  <c:v>0.30680000000000002</c:v>
                </c:pt>
                <c:pt idx="36">
                  <c:v>0.31659999999999999</c:v>
                </c:pt>
                <c:pt idx="37">
                  <c:v>0.31979999999999997</c:v>
                </c:pt>
                <c:pt idx="38">
                  <c:v>0.32</c:v>
                </c:pt>
                <c:pt idx="39">
                  <c:v>0.32319999999999999</c:v>
                </c:pt>
                <c:pt idx="40">
                  <c:v>0.33</c:v>
                </c:pt>
                <c:pt idx="41">
                  <c:v>0.3332</c:v>
                </c:pt>
                <c:pt idx="42">
                  <c:v>0.33339999999999997</c:v>
                </c:pt>
                <c:pt idx="43">
                  <c:v>0.34339999999999998</c:v>
                </c:pt>
                <c:pt idx="44">
                  <c:v>0.34660000000000002</c:v>
                </c:pt>
                <c:pt idx="45">
                  <c:v>0.3468</c:v>
                </c:pt>
                <c:pt idx="46">
                  <c:v>0.35</c:v>
                </c:pt>
                <c:pt idx="47">
                  <c:v>0.35339999999999999</c:v>
                </c:pt>
                <c:pt idx="48">
                  <c:v>0.35680000000000001</c:v>
                </c:pt>
                <c:pt idx="49">
                  <c:v>0.35980000000000001</c:v>
                </c:pt>
                <c:pt idx="50">
                  <c:v>0.36</c:v>
                </c:pt>
                <c:pt idx="51">
                  <c:v>0.3634</c:v>
                </c:pt>
                <c:pt idx="52">
                  <c:v>0.36659999999999998</c:v>
                </c:pt>
                <c:pt idx="53">
                  <c:v>0.37319999999999998</c:v>
                </c:pt>
                <c:pt idx="54">
                  <c:v>0.37340000000000001</c:v>
                </c:pt>
                <c:pt idx="55">
                  <c:v>0.37659999999999999</c:v>
                </c:pt>
                <c:pt idx="56">
                  <c:v>0.38</c:v>
                </c:pt>
                <c:pt idx="57">
                  <c:v>0.38319999999999999</c:v>
                </c:pt>
                <c:pt idx="58">
                  <c:v>0.38340000000000002</c:v>
                </c:pt>
                <c:pt idx="59">
                  <c:v>0.3866</c:v>
                </c:pt>
                <c:pt idx="60">
                  <c:v>0.38679999999999998</c:v>
                </c:pt>
                <c:pt idx="61">
                  <c:v>0.38979999999999998</c:v>
                </c:pt>
                <c:pt idx="62">
                  <c:v>0.39</c:v>
                </c:pt>
                <c:pt idx="63">
                  <c:v>0.39319999999999999</c:v>
                </c:pt>
                <c:pt idx="64">
                  <c:v>0.39340000000000003</c:v>
                </c:pt>
                <c:pt idx="65">
                  <c:v>0.39660000000000001</c:v>
                </c:pt>
                <c:pt idx="66">
                  <c:v>0.39679999999999999</c:v>
                </c:pt>
                <c:pt idx="67">
                  <c:v>0.39979999999999999</c:v>
                </c:pt>
                <c:pt idx="68">
                  <c:v>0.4</c:v>
                </c:pt>
                <c:pt idx="69">
                  <c:v>0.4002</c:v>
                </c:pt>
                <c:pt idx="70">
                  <c:v>0.41</c:v>
                </c:pt>
                <c:pt idx="71">
                  <c:v>0.41320000000000001</c:v>
                </c:pt>
                <c:pt idx="72">
                  <c:v>0.41339999999999999</c:v>
                </c:pt>
                <c:pt idx="73">
                  <c:v>0.41660000000000003</c:v>
                </c:pt>
                <c:pt idx="74">
                  <c:v>0.4234</c:v>
                </c:pt>
                <c:pt idx="75">
                  <c:v>0.42659999999999998</c:v>
                </c:pt>
                <c:pt idx="76">
                  <c:v>0.42680000000000001</c:v>
                </c:pt>
                <c:pt idx="77">
                  <c:v>0.43340000000000001</c:v>
                </c:pt>
                <c:pt idx="78">
                  <c:v>0.44</c:v>
                </c:pt>
                <c:pt idx="79">
                  <c:v>0.44019999999999998</c:v>
                </c:pt>
                <c:pt idx="80">
                  <c:v>0.44319999999999998</c:v>
                </c:pt>
                <c:pt idx="81">
                  <c:v>0.44340000000000002</c:v>
                </c:pt>
                <c:pt idx="82">
                  <c:v>0.4466</c:v>
                </c:pt>
                <c:pt idx="83">
                  <c:v>0.44679999999999997</c:v>
                </c:pt>
                <c:pt idx="84">
                  <c:v>0.45</c:v>
                </c:pt>
                <c:pt idx="85">
                  <c:v>0.45019999999999999</c:v>
                </c:pt>
                <c:pt idx="86">
                  <c:v>0.45319999999999999</c:v>
                </c:pt>
                <c:pt idx="87">
                  <c:v>0.45340000000000003</c:v>
                </c:pt>
                <c:pt idx="88">
                  <c:v>0.45979999999999999</c:v>
                </c:pt>
                <c:pt idx="89">
                  <c:v>0.46</c:v>
                </c:pt>
                <c:pt idx="90">
                  <c:v>0.46339999999999998</c:v>
                </c:pt>
                <c:pt idx="91">
                  <c:v>0.46660000000000001</c:v>
                </c:pt>
                <c:pt idx="92">
                  <c:v>0.46679999999999999</c:v>
                </c:pt>
                <c:pt idx="93">
                  <c:v>0.4698</c:v>
                </c:pt>
                <c:pt idx="94">
                  <c:v>0.47</c:v>
                </c:pt>
                <c:pt idx="95">
                  <c:v>0.47660000000000002</c:v>
                </c:pt>
                <c:pt idx="96">
                  <c:v>0.4768</c:v>
                </c:pt>
                <c:pt idx="97">
                  <c:v>0.48</c:v>
                </c:pt>
                <c:pt idx="98">
                  <c:v>0.48020000000000002</c:v>
                </c:pt>
                <c:pt idx="99">
                  <c:v>0.48320000000000002</c:v>
                </c:pt>
                <c:pt idx="100">
                  <c:v>0.4834</c:v>
                </c:pt>
                <c:pt idx="101">
                  <c:v>0.49</c:v>
                </c:pt>
                <c:pt idx="102">
                  <c:v>0.49320000000000003</c:v>
                </c:pt>
                <c:pt idx="103">
                  <c:v>0.49340000000000001</c:v>
                </c:pt>
                <c:pt idx="104">
                  <c:v>0.49659999999999999</c:v>
                </c:pt>
                <c:pt idx="105">
                  <c:v>0.49680000000000002</c:v>
                </c:pt>
                <c:pt idx="106">
                  <c:v>0.5</c:v>
                </c:pt>
                <c:pt idx="107">
                  <c:v>0.50660000000000005</c:v>
                </c:pt>
                <c:pt idx="108">
                  <c:v>0.50680000000000003</c:v>
                </c:pt>
                <c:pt idx="109">
                  <c:v>0.51</c:v>
                </c:pt>
                <c:pt idx="110">
                  <c:v>0.51659999999999995</c:v>
                </c:pt>
                <c:pt idx="111">
                  <c:v>0.51680000000000004</c:v>
                </c:pt>
                <c:pt idx="112">
                  <c:v>0.52</c:v>
                </c:pt>
                <c:pt idx="113">
                  <c:v>0.5202</c:v>
                </c:pt>
                <c:pt idx="114">
                  <c:v>0.52339999999999998</c:v>
                </c:pt>
                <c:pt idx="115">
                  <c:v>0.52659999999999996</c:v>
                </c:pt>
                <c:pt idx="116">
                  <c:v>0.52680000000000005</c:v>
                </c:pt>
                <c:pt idx="117">
                  <c:v>0.53</c:v>
                </c:pt>
                <c:pt idx="118">
                  <c:v>0.53320000000000001</c:v>
                </c:pt>
                <c:pt idx="119">
                  <c:v>0.53339999999999999</c:v>
                </c:pt>
                <c:pt idx="120">
                  <c:v>0.53659999999999997</c:v>
                </c:pt>
                <c:pt idx="121">
                  <c:v>0.54</c:v>
                </c:pt>
                <c:pt idx="122">
                  <c:v>0.54320000000000002</c:v>
                </c:pt>
                <c:pt idx="123">
                  <c:v>0.54339999999999999</c:v>
                </c:pt>
                <c:pt idx="124">
                  <c:v>0.54659999999999997</c:v>
                </c:pt>
                <c:pt idx="125">
                  <c:v>0.54679999999999995</c:v>
                </c:pt>
                <c:pt idx="126">
                  <c:v>0.55000000000000004</c:v>
                </c:pt>
                <c:pt idx="127">
                  <c:v>0.55320000000000003</c:v>
                </c:pt>
                <c:pt idx="128">
                  <c:v>0.56000000000000005</c:v>
                </c:pt>
                <c:pt idx="129">
                  <c:v>0.56020000000000003</c:v>
                </c:pt>
                <c:pt idx="130">
                  <c:v>0.56340000000000001</c:v>
                </c:pt>
                <c:pt idx="131">
                  <c:v>0.56659999999999999</c:v>
                </c:pt>
                <c:pt idx="132">
                  <c:v>0.56679999999999997</c:v>
                </c:pt>
                <c:pt idx="133">
                  <c:v>0.56999999999999995</c:v>
                </c:pt>
                <c:pt idx="134">
                  <c:v>0.57320000000000004</c:v>
                </c:pt>
                <c:pt idx="135">
                  <c:v>0.57340000000000002</c:v>
                </c:pt>
                <c:pt idx="136">
                  <c:v>0.5766</c:v>
                </c:pt>
                <c:pt idx="137">
                  <c:v>0.57679999999999998</c:v>
                </c:pt>
                <c:pt idx="138">
                  <c:v>0.57999999999999996</c:v>
                </c:pt>
                <c:pt idx="139">
                  <c:v>0.58020000000000005</c:v>
                </c:pt>
                <c:pt idx="140">
                  <c:v>0.58320000000000005</c:v>
                </c:pt>
                <c:pt idx="141">
                  <c:v>0.58340000000000003</c:v>
                </c:pt>
                <c:pt idx="142">
                  <c:v>0.58660000000000001</c:v>
                </c:pt>
                <c:pt idx="143">
                  <c:v>0.58679999999999999</c:v>
                </c:pt>
                <c:pt idx="144">
                  <c:v>0.59319999999999995</c:v>
                </c:pt>
                <c:pt idx="145">
                  <c:v>0.59340000000000004</c:v>
                </c:pt>
                <c:pt idx="146">
                  <c:v>0.59660000000000002</c:v>
                </c:pt>
                <c:pt idx="147">
                  <c:v>0.5968</c:v>
                </c:pt>
                <c:pt idx="148">
                  <c:v>0.5998</c:v>
                </c:pt>
                <c:pt idx="149">
                  <c:v>0.6</c:v>
                </c:pt>
                <c:pt idx="150">
                  <c:v>0.60019999999999996</c:v>
                </c:pt>
                <c:pt idx="151">
                  <c:v>0.60319999999999996</c:v>
                </c:pt>
                <c:pt idx="152">
                  <c:v>0.60340000000000005</c:v>
                </c:pt>
                <c:pt idx="153">
                  <c:v>0.60680000000000001</c:v>
                </c:pt>
                <c:pt idx="154">
                  <c:v>0.61</c:v>
                </c:pt>
                <c:pt idx="155">
                  <c:v>0.61019999999999996</c:v>
                </c:pt>
                <c:pt idx="156">
                  <c:v>0.61319999999999997</c:v>
                </c:pt>
                <c:pt idx="157">
                  <c:v>0.61339999999999995</c:v>
                </c:pt>
                <c:pt idx="158">
                  <c:v>0.61660000000000004</c:v>
                </c:pt>
                <c:pt idx="159">
                  <c:v>0.61680000000000001</c:v>
                </c:pt>
                <c:pt idx="160">
                  <c:v>0.62</c:v>
                </c:pt>
                <c:pt idx="161">
                  <c:v>0.62019999999999997</c:v>
                </c:pt>
                <c:pt idx="162">
                  <c:v>0.62339999999999995</c:v>
                </c:pt>
                <c:pt idx="163">
                  <c:v>0.62660000000000005</c:v>
                </c:pt>
                <c:pt idx="164">
                  <c:v>0.62680000000000002</c:v>
                </c:pt>
                <c:pt idx="165">
                  <c:v>0.63</c:v>
                </c:pt>
                <c:pt idx="166">
                  <c:v>0.63319999999999999</c:v>
                </c:pt>
                <c:pt idx="167">
                  <c:v>0.63339999999999996</c:v>
                </c:pt>
                <c:pt idx="168">
                  <c:v>0.63680000000000003</c:v>
                </c:pt>
                <c:pt idx="169">
                  <c:v>0.64</c:v>
                </c:pt>
                <c:pt idx="170">
                  <c:v>0.64319999999999999</c:v>
                </c:pt>
                <c:pt idx="171">
                  <c:v>0.64339999999999997</c:v>
                </c:pt>
                <c:pt idx="172">
                  <c:v>0.64659999999999995</c:v>
                </c:pt>
                <c:pt idx="173">
                  <c:v>0.65</c:v>
                </c:pt>
                <c:pt idx="174">
                  <c:v>0.6502</c:v>
                </c:pt>
                <c:pt idx="175">
                  <c:v>0.6532</c:v>
                </c:pt>
                <c:pt idx="176">
                  <c:v>0.65339999999999998</c:v>
                </c:pt>
                <c:pt idx="177">
                  <c:v>0.66</c:v>
                </c:pt>
                <c:pt idx="178">
                  <c:v>0.66020000000000001</c:v>
                </c:pt>
                <c:pt idx="179">
                  <c:v>0.66339999999999999</c:v>
                </c:pt>
                <c:pt idx="180">
                  <c:v>0.66659999999999997</c:v>
                </c:pt>
                <c:pt idx="181">
                  <c:v>0.66679999999999995</c:v>
                </c:pt>
                <c:pt idx="182">
                  <c:v>0.67</c:v>
                </c:pt>
                <c:pt idx="183">
                  <c:v>0.67659999999999998</c:v>
                </c:pt>
                <c:pt idx="184">
                  <c:v>0.67679999999999996</c:v>
                </c:pt>
                <c:pt idx="185">
                  <c:v>0.68</c:v>
                </c:pt>
                <c:pt idx="186">
                  <c:v>0.68020000000000003</c:v>
                </c:pt>
                <c:pt idx="187">
                  <c:v>0.68320000000000003</c:v>
                </c:pt>
                <c:pt idx="188">
                  <c:v>0.68340000000000001</c:v>
                </c:pt>
                <c:pt idx="189">
                  <c:v>0.68679999999999997</c:v>
                </c:pt>
                <c:pt idx="190">
                  <c:v>0.69320000000000004</c:v>
                </c:pt>
                <c:pt idx="191">
                  <c:v>0.69340000000000002</c:v>
                </c:pt>
                <c:pt idx="192">
                  <c:v>0.6966</c:v>
                </c:pt>
                <c:pt idx="193">
                  <c:v>0.69679999999999997</c:v>
                </c:pt>
                <c:pt idx="194">
                  <c:v>0.7</c:v>
                </c:pt>
                <c:pt idx="195">
                  <c:v>0.70020000000000004</c:v>
                </c:pt>
                <c:pt idx="196">
                  <c:v>0.70679999999999998</c:v>
                </c:pt>
                <c:pt idx="197">
                  <c:v>0.71</c:v>
                </c:pt>
                <c:pt idx="198">
                  <c:v>0.71020000000000005</c:v>
                </c:pt>
                <c:pt idx="199">
                  <c:v>0.71340000000000003</c:v>
                </c:pt>
                <c:pt idx="200">
                  <c:v>0.71660000000000001</c:v>
                </c:pt>
                <c:pt idx="201">
                  <c:v>0.71679999999999999</c:v>
                </c:pt>
                <c:pt idx="202">
                  <c:v>0.72</c:v>
                </c:pt>
                <c:pt idx="203">
                  <c:v>0.72660000000000002</c:v>
                </c:pt>
                <c:pt idx="204">
                  <c:v>0.7268</c:v>
                </c:pt>
                <c:pt idx="205">
                  <c:v>0.73</c:v>
                </c:pt>
                <c:pt idx="206">
                  <c:v>0.73319999999999996</c:v>
                </c:pt>
                <c:pt idx="207">
                  <c:v>0.73340000000000005</c:v>
                </c:pt>
                <c:pt idx="208">
                  <c:v>0.73660000000000003</c:v>
                </c:pt>
                <c:pt idx="209">
                  <c:v>0.73680000000000001</c:v>
                </c:pt>
                <c:pt idx="210">
                  <c:v>0.74339999999999995</c:v>
                </c:pt>
                <c:pt idx="211">
                  <c:v>0.74660000000000004</c:v>
                </c:pt>
                <c:pt idx="212">
                  <c:v>0.74680000000000002</c:v>
                </c:pt>
                <c:pt idx="213">
                  <c:v>0.75</c:v>
                </c:pt>
                <c:pt idx="214">
                  <c:v>0.75019999999999998</c:v>
                </c:pt>
                <c:pt idx="215">
                  <c:v>0.76</c:v>
                </c:pt>
                <c:pt idx="216">
                  <c:v>0.76019999999999999</c:v>
                </c:pt>
                <c:pt idx="217">
                  <c:v>0.76339999999999997</c:v>
                </c:pt>
                <c:pt idx="218">
                  <c:v>0.76659999999999995</c:v>
                </c:pt>
                <c:pt idx="219">
                  <c:v>0.76680000000000004</c:v>
                </c:pt>
                <c:pt idx="220">
                  <c:v>0.77339999999999998</c:v>
                </c:pt>
                <c:pt idx="221">
                  <c:v>0.77659999999999996</c:v>
                </c:pt>
                <c:pt idx="222">
                  <c:v>0.77680000000000005</c:v>
                </c:pt>
                <c:pt idx="223">
                  <c:v>0.78</c:v>
                </c:pt>
                <c:pt idx="224">
                  <c:v>0.78339999999999999</c:v>
                </c:pt>
                <c:pt idx="225">
                  <c:v>0.78659999999999997</c:v>
                </c:pt>
                <c:pt idx="226">
                  <c:v>0.78680000000000005</c:v>
                </c:pt>
                <c:pt idx="227">
                  <c:v>0.79339999999999999</c:v>
                </c:pt>
                <c:pt idx="228">
                  <c:v>0.8</c:v>
                </c:pt>
                <c:pt idx="229">
                  <c:v>0.80020000000000002</c:v>
                </c:pt>
                <c:pt idx="230">
                  <c:v>0.8034</c:v>
                </c:pt>
                <c:pt idx="231">
                  <c:v>0.81</c:v>
                </c:pt>
                <c:pt idx="232">
                  <c:v>0.81340000000000001</c:v>
                </c:pt>
                <c:pt idx="233">
                  <c:v>0.81659999999999999</c:v>
                </c:pt>
                <c:pt idx="234">
                  <c:v>0.81679999999999997</c:v>
                </c:pt>
                <c:pt idx="235">
                  <c:v>0.8266</c:v>
                </c:pt>
                <c:pt idx="236">
                  <c:v>0.82679999999999998</c:v>
                </c:pt>
                <c:pt idx="237">
                  <c:v>0.83</c:v>
                </c:pt>
                <c:pt idx="238">
                  <c:v>0.83340000000000003</c:v>
                </c:pt>
                <c:pt idx="239">
                  <c:v>0.84340000000000004</c:v>
                </c:pt>
                <c:pt idx="240">
                  <c:v>0.85</c:v>
                </c:pt>
                <c:pt idx="241">
                  <c:v>0.85340000000000005</c:v>
                </c:pt>
                <c:pt idx="242">
                  <c:v>0.86</c:v>
                </c:pt>
                <c:pt idx="243">
                  <c:v>0.86660000000000004</c:v>
                </c:pt>
                <c:pt idx="244">
                  <c:v>0.86680000000000001</c:v>
                </c:pt>
                <c:pt idx="245">
                  <c:v>0.87</c:v>
                </c:pt>
                <c:pt idx="246">
                  <c:v>0.88</c:v>
                </c:pt>
                <c:pt idx="247">
                  <c:v>0.88339999999999996</c:v>
                </c:pt>
                <c:pt idx="248">
                  <c:v>0.89339999999999997</c:v>
                </c:pt>
                <c:pt idx="249">
                  <c:v>0.9</c:v>
                </c:pt>
                <c:pt idx="250">
                  <c:v>0.91</c:v>
                </c:pt>
                <c:pt idx="251">
                  <c:v>0.93340000000000001</c:v>
                </c:pt>
                <c:pt idx="252">
                  <c:v>0.95</c:v>
                </c:pt>
                <c:pt idx="253">
                  <c:v>0.96</c:v>
                </c:pt>
                <c:pt idx="254">
                  <c:v>1</c:v>
                </c:pt>
              </c:numCache>
            </c:numRef>
          </c:xVal>
          <c:yVal>
            <c:numRef>
              <c:f>'Figure D2a-D5-suppliers'!$FA$8:$FA$262</c:f>
              <c:numCache>
                <c:formatCode>General</c:formatCode>
                <c:ptCount val="255"/>
                <c:pt idx="0">
                  <c:v>9.7699999999999995E-2</c:v>
                </c:pt>
                <c:pt idx="1">
                  <c:v>0.1017</c:v>
                </c:pt>
                <c:pt idx="2">
                  <c:v>0.10440000000000001</c:v>
                </c:pt>
                <c:pt idx="3">
                  <c:v>0.10580000000000001</c:v>
                </c:pt>
                <c:pt idx="4">
                  <c:v>0.1086</c:v>
                </c:pt>
                <c:pt idx="5">
                  <c:v>0.11</c:v>
                </c:pt>
                <c:pt idx="6">
                  <c:v>0.1115</c:v>
                </c:pt>
                <c:pt idx="7">
                  <c:v>0.1115</c:v>
                </c:pt>
                <c:pt idx="8">
                  <c:v>0.1129</c:v>
                </c:pt>
                <c:pt idx="9">
                  <c:v>0.1144</c:v>
                </c:pt>
                <c:pt idx="10">
                  <c:v>0.1158</c:v>
                </c:pt>
                <c:pt idx="11">
                  <c:v>0.1159</c:v>
                </c:pt>
                <c:pt idx="12">
                  <c:v>0.1166</c:v>
                </c:pt>
                <c:pt idx="13">
                  <c:v>0.11700000000000001</c:v>
                </c:pt>
                <c:pt idx="14">
                  <c:v>0.1173</c:v>
                </c:pt>
                <c:pt idx="15">
                  <c:v>0.1188</c:v>
                </c:pt>
                <c:pt idx="16">
                  <c:v>0.1188</c:v>
                </c:pt>
                <c:pt idx="17">
                  <c:v>0.1203</c:v>
                </c:pt>
                <c:pt idx="18">
                  <c:v>0.12039999999999999</c:v>
                </c:pt>
                <c:pt idx="19">
                  <c:v>0.1207</c:v>
                </c:pt>
                <c:pt idx="20">
                  <c:v>0.1215</c:v>
                </c:pt>
                <c:pt idx="21">
                  <c:v>0.12189999999999999</c:v>
                </c:pt>
                <c:pt idx="22">
                  <c:v>0.1234</c:v>
                </c:pt>
                <c:pt idx="23">
                  <c:v>0.1246</c:v>
                </c:pt>
                <c:pt idx="24">
                  <c:v>0.1249</c:v>
                </c:pt>
                <c:pt idx="25">
                  <c:v>0.125</c:v>
                </c:pt>
                <c:pt idx="26">
                  <c:v>0.12609999999999999</c:v>
                </c:pt>
                <c:pt idx="27">
                  <c:v>0.1265</c:v>
                </c:pt>
                <c:pt idx="28">
                  <c:v>0.1265</c:v>
                </c:pt>
                <c:pt idx="29">
                  <c:v>0.12770000000000001</c:v>
                </c:pt>
                <c:pt idx="30">
                  <c:v>0.12809999999999999</c:v>
                </c:pt>
                <c:pt idx="31">
                  <c:v>0.12889999999999999</c:v>
                </c:pt>
                <c:pt idx="32">
                  <c:v>0.12970000000000001</c:v>
                </c:pt>
                <c:pt idx="33">
                  <c:v>0.12970000000000001</c:v>
                </c:pt>
                <c:pt idx="34">
                  <c:v>0.1313</c:v>
                </c:pt>
                <c:pt idx="35">
                  <c:v>0.1313</c:v>
                </c:pt>
                <c:pt idx="36">
                  <c:v>0.13250000000000001</c:v>
                </c:pt>
                <c:pt idx="37">
                  <c:v>0.13289999999999999</c:v>
                </c:pt>
                <c:pt idx="38">
                  <c:v>0.13289999999999999</c:v>
                </c:pt>
                <c:pt idx="39">
                  <c:v>0.1333</c:v>
                </c:pt>
                <c:pt idx="40">
                  <c:v>0.1341</c:v>
                </c:pt>
                <c:pt idx="41">
                  <c:v>0.13450000000000001</c:v>
                </c:pt>
                <c:pt idx="42">
                  <c:v>0.13450000000000001</c:v>
                </c:pt>
                <c:pt idx="43">
                  <c:v>0.13569999999999999</c:v>
                </c:pt>
                <c:pt idx="44">
                  <c:v>0.1361</c:v>
                </c:pt>
                <c:pt idx="45">
                  <c:v>0.13619999999999999</c:v>
                </c:pt>
                <c:pt idx="46">
                  <c:v>0.1366</c:v>
                </c:pt>
                <c:pt idx="47">
                  <c:v>0.13700000000000001</c:v>
                </c:pt>
                <c:pt idx="48">
                  <c:v>0.13739999999999999</c:v>
                </c:pt>
                <c:pt idx="49">
                  <c:v>0.13780000000000001</c:v>
                </c:pt>
                <c:pt idx="50">
                  <c:v>0.13780000000000001</c:v>
                </c:pt>
                <c:pt idx="51">
                  <c:v>0.13819999999999999</c:v>
                </c:pt>
                <c:pt idx="52">
                  <c:v>0.1386</c:v>
                </c:pt>
                <c:pt idx="53">
                  <c:v>0.1394</c:v>
                </c:pt>
                <c:pt idx="54">
                  <c:v>0.13950000000000001</c:v>
                </c:pt>
                <c:pt idx="55">
                  <c:v>0.1399</c:v>
                </c:pt>
                <c:pt idx="56">
                  <c:v>0.14030000000000001</c:v>
                </c:pt>
                <c:pt idx="57">
                  <c:v>0.14069999999999999</c:v>
                </c:pt>
                <c:pt idx="58">
                  <c:v>0.14069999999999999</c:v>
                </c:pt>
                <c:pt idx="59">
                  <c:v>0.1411</c:v>
                </c:pt>
                <c:pt idx="60">
                  <c:v>0.1411</c:v>
                </c:pt>
                <c:pt idx="61">
                  <c:v>0.14149999999999999</c:v>
                </c:pt>
                <c:pt idx="62">
                  <c:v>0.14149999999999999</c:v>
                </c:pt>
                <c:pt idx="63">
                  <c:v>0.14199999999999999</c:v>
                </c:pt>
                <c:pt idx="64">
                  <c:v>0.14199999999999999</c:v>
                </c:pt>
                <c:pt idx="65">
                  <c:v>0.1424</c:v>
                </c:pt>
                <c:pt idx="66">
                  <c:v>0.1424</c:v>
                </c:pt>
                <c:pt idx="67">
                  <c:v>0.14280000000000001</c:v>
                </c:pt>
                <c:pt idx="68">
                  <c:v>0.14280000000000001</c:v>
                </c:pt>
                <c:pt idx="69">
                  <c:v>0.14280000000000001</c:v>
                </c:pt>
                <c:pt idx="70">
                  <c:v>0.14410000000000001</c:v>
                </c:pt>
                <c:pt idx="71">
                  <c:v>0.14449999999999999</c:v>
                </c:pt>
                <c:pt idx="72">
                  <c:v>0.14449999999999999</c:v>
                </c:pt>
                <c:pt idx="73">
                  <c:v>0.1449</c:v>
                </c:pt>
                <c:pt idx="74">
                  <c:v>0.14580000000000001</c:v>
                </c:pt>
                <c:pt idx="75">
                  <c:v>0.1462</c:v>
                </c:pt>
                <c:pt idx="76">
                  <c:v>0.1462</c:v>
                </c:pt>
                <c:pt idx="77">
                  <c:v>0.14710000000000001</c:v>
                </c:pt>
                <c:pt idx="78">
                  <c:v>0.1479</c:v>
                </c:pt>
                <c:pt idx="79">
                  <c:v>0.14799999999999999</c:v>
                </c:pt>
                <c:pt idx="80">
                  <c:v>0.1484</c:v>
                </c:pt>
                <c:pt idx="81">
                  <c:v>0.1484</c:v>
                </c:pt>
                <c:pt idx="82">
                  <c:v>0.14879999999999999</c:v>
                </c:pt>
                <c:pt idx="83">
                  <c:v>0.14879999999999999</c:v>
                </c:pt>
                <c:pt idx="84">
                  <c:v>0.1492</c:v>
                </c:pt>
                <c:pt idx="85">
                  <c:v>0.14929999999999999</c:v>
                </c:pt>
                <c:pt idx="86">
                  <c:v>0.1497</c:v>
                </c:pt>
                <c:pt idx="87">
                  <c:v>0.1497</c:v>
                </c:pt>
                <c:pt idx="88">
                  <c:v>0.15049999999999999</c:v>
                </c:pt>
                <c:pt idx="89">
                  <c:v>0.15049999999999999</c:v>
                </c:pt>
                <c:pt idx="90">
                  <c:v>0.151</c:v>
                </c:pt>
                <c:pt idx="91">
                  <c:v>0.15140000000000001</c:v>
                </c:pt>
                <c:pt idx="92">
                  <c:v>0.15140000000000001</c:v>
                </c:pt>
                <c:pt idx="93">
                  <c:v>0.15179999999999999</c:v>
                </c:pt>
                <c:pt idx="94">
                  <c:v>0.15190000000000001</c:v>
                </c:pt>
                <c:pt idx="95">
                  <c:v>0.1527</c:v>
                </c:pt>
                <c:pt idx="96">
                  <c:v>0.15279999999999999</c:v>
                </c:pt>
                <c:pt idx="97">
                  <c:v>0.1532</c:v>
                </c:pt>
                <c:pt idx="98">
                  <c:v>0.1532</c:v>
                </c:pt>
                <c:pt idx="99">
                  <c:v>0.15359999999999999</c:v>
                </c:pt>
                <c:pt idx="100">
                  <c:v>0.15359999999999999</c:v>
                </c:pt>
                <c:pt idx="101">
                  <c:v>0.1545</c:v>
                </c:pt>
                <c:pt idx="102">
                  <c:v>0.15490000000000001</c:v>
                </c:pt>
                <c:pt idx="103">
                  <c:v>0.155</c:v>
                </c:pt>
                <c:pt idx="104">
                  <c:v>0.15540000000000001</c:v>
                </c:pt>
                <c:pt idx="105">
                  <c:v>0.15540000000000001</c:v>
                </c:pt>
                <c:pt idx="106">
                  <c:v>0.15579999999999999</c:v>
                </c:pt>
                <c:pt idx="107">
                  <c:v>0.15670000000000001</c:v>
                </c:pt>
                <c:pt idx="108">
                  <c:v>0.15679999999999999</c:v>
                </c:pt>
                <c:pt idx="109">
                  <c:v>0.15720000000000001</c:v>
                </c:pt>
                <c:pt idx="110">
                  <c:v>0.15809999999999999</c:v>
                </c:pt>
                <c:pt idx="111">
                  <c:v>0.15809999999999999</c:v>
                </c:pt>
                <c:pt idx="112">
                  <c:v>0.1585</c:v>
                </c:pt>
                <c:pt idx="113">
                  <c:v>0.15859999999999999</c:v>
                </c:pt>
                <c:pt idx="114">
                  <c:v>0.159</c:v>
                </c:pt>
                <c:pt idx="115">
                  <c:v>0.15939999999999999</c:v>
                </c:pt>
                <c:pt idx="116">
                  <c:v>0.15939999999999999</c:v>
                </c:pt>
                <c:pt idx="117">
                  <c:v>0.15989999999999999</c:v>
                </c:pt>
                <c:pt idx="118">
                  <c:v>0.1603</c:v>
                </c:pt>
                <c:pt idx="119">
                  <c:v>0.1603</c:v>
                </c:pt>
                <c:pt idx="120">
                  <c:v>0.1608</c:v>
                </c:pt>
                <c:pt idx="121">
                  <c:v>0.16120000000000001</c:v>
                </c:pt>
                <c:pt idx="122">
                  <c:v>0.16170000000000001</c:v>
                </c:pt>
                <c:pt idx="123">
                  <c:v>0.16170000000000001</c:v>
                </c:pt>
                <c:pt idx="124">
                  <c:v>0.16209999999999999</c:v>
                </c:pt>
                <c:pt idx="125">
                  <c:v>0.16220000000000001</c:v>
                </c:pt>
                <c:pt idx="126">
                  <c:v>0.16259999999999999</c:v>
                </c:pt>
                <c:pt idx="127">
                  <c:v>0.16300000000000001</c:v>
                </c:pt>
                <c:pt idx="128">
                  <c:v>0.16400000000000001</c:v>
                </c:pt>
                <c:pt idx="129">
                  <c:v>0.16400000000000001</c:v>
                </c:pt>
                <c:pt idx="130">
                  <c:v>0.16439999999999999</c:v>
                </c:pt>
                <c:pt idx="131">
                  <c:v>0.16489999999999999</c:v>
                </c:pt>
                <c:pt idx="132">
                  <c:v>0.16489999999999999</c:v>
                </c:pt>
                <c:pt idx="133">
                  <c:v>0.1653</c:v>
                </c:pt>
                <c:pt idx="134">
                  <c:v>0.1658</c:v>
                </c:pt>
                <c:pt idx="135">
                  <c:v>0.1658</c:v>
                </c:pt>
                <c:pt idx="136">
                  <c:v>0.1663</c:v>
                </c:pt>
                <c:pt idx="137">
                  <c:v>0.1663</c:v>
                </c:pt>
                <c:pt idx="138">
                  <c:v>0.16669999999999999</c:v>
                </c:pt>
                <c:pt idx="139">
                  <c:v>0.1668</c:v>
                </c:pt>
                <c:pt idx="140">
                  <c:v>0.16719999999999999</c:v>
                </c:pt>
                <c:pt idx="141">
                  <c:v>0.16719999999999999</c:v>
                </c:pt>
                <c:pt idx="142">
                  <c:v>0.1676</c:v>
                </c:pt>
                <c:pt idx="143">
                  <c:v>0.16769999999999999</c:v>
                </c:pt>
                <c:pt idx="144">
                  <c:v>0.1686</c:v>
                </c:pt>
                <c:pt idx="145">
                  <c:v>0.1686</c:v>
                </c:pt>
                <c:pt idx="146">
                  <c:v>0.16900000000000001</c:v>
                </c:pt>
                <c:pt idx="147">
                  <c:v>0.1691</c:v>
                </c:pt>
                <c:pt idx="148">
                  <c:v>0.16950000000000001</c:v>
                </c:pt>
                <c:pt idx="149">
                  <c:v>0.16950000000000001</c:v>
                </c:pt>
                <c:pt idx="150">
                  <c:v>0.16950000000000001</c:v>
                </c:pt>
                <c:pt idx="151">
                  <c:v>0.17</c:v>
                </c:pt>
                <c:pt idx="152">
                  <c:v>0.17</c:v>
                </c:pt>
                <c:pt idx="153">
                  <c:v>0.17050000000000001</c:v>
                </c:pt>
                <c:pt idx="154">
                  <c:v>0.1709</c:v>
                </c:pt>
                <c:pt idx="155">
                  <c:v>0.1709</c:v>
                </c:pt>
                <c:pt idx="156">
                  <c:v>0.1714</c:v>
                </c:pt>
                <c:pt idx="157">
                  <c:v>0.1714</c:v>
                </c:pt>
                <c:pt idx="158">
                  <c:v>0.17180000000000001</c:v>
                </c:pt>
                <c:pt idx="159">
                  <c:v>0.1719</c:v>
                </c:pt>
                <c:pt idx="160">
                  <c:v>0.17230000000000001</c:v>
                </c:pt>
                <c:pt idx="161">
                  <c:v>0.1724</c:v>
                </c:pt>
                <c:pt idx="162">
                  <c:v>0.17280000000000001</c:v>
                </c:pt>
                <c:pt idx="163">
                  <c:v>0.17330000000000001</c:v>
                </c:pt>
                <c:pt idx="164">
                  <c:v>0.17330000000000001</c:v>
                </c:pt>
                <c:pt idx="165">
                  <c:v>0.17369999999999999</c:v>
                </c:pt>
                <c:pt idx="166">
                  <c:v>0.17419999999999999</c:v>
                </c:pt>
                <c:pt idx="167">
                  <c:v>0.17419999999999999</c:v>
                </c:pt>
                <c:pt idx="168">
                  <c:v>0.17469999999999999</c:v>
                </c:pt>
                <c:pt idx="169">
                  <c:v>0.17519999999999999</c:v>
                </c:pt>
                <c:pt idx="170">
                  <c:v>0.17560000000000001</c:v>
                </c:pt>
                <c:pt idx="171">
                  <c:v>0.17560000000000001</c:v>
                </c:pt>
                <c:pt idx="172">
                  <c:v>0.17610000000000001</c:v>
                </c:pt>
                <c:pt idx="173">
                  <c:v>0.17660000000000001</c:v>
                </c:pt>
                <c:pt idx="174">
                  <c:v>0.17660000000000001</c:v>
                </c:pt>
                <c:pt idx="175">
                  <c:v>0.17699999999999999</c:v>
                </c:pt>
                <c:pt idx="176">
                  <c:v>0.17710000000000001</c:v>
                </c:pt>
                <c:pt idx="177">
                  <c:v>0.17799999999999999</c:v>
                </c:pt>
                <c:pt idx="178">
                  <c:v>0.17799999999999999</c:v>
                </c:pt>
                <c:pt idx="179">
                  <c:v>0.17849999999999999</c:v>
                </c:pt>
                <c:pt idx="180">
                  <c:v>0.17899999999999999</c:v>
                </c:pt>
                <c:pt idx="181">
                  <c:v>0.17899999999999999</c:v>
                </c:pt>
                <c:pt idx="182">
                  <c:v>0.17949999999999999</c:v>
                </c:pt>
                <c:pt idx="183">
                  <c:v>0.1804</c:v>
                </c:pt>
                <c:pt idx="184">
                  <c:v>0.1804</c:v>
                </c:pt>
                <c:pt idx="185">
                  <c:v>0.18090000000000001</c:v>
                </c:pt>
                <c:pt idx="186">
                  <c:v>0.18090000000000001</c:v>
                </c:pt>
                <c:pt idx="187">
                  <c:v>0.18140000000000001</c:v>
                </c:pt>
                <c:pt idx="188">
                  <c:v>0.18140000000000001</c:v>
                </c:pt>
                <c:pt idx="189">
                  <c:v>0.18190000000000001</c:v>
                </c:pt>
                <c:pt idx="190">
                  <c:v>0.18279999999999999</c:v>
                </c:pt>
                <c:pt idx="191">
                  <c:v>0.18279999999999999</c:v>
                </c:pt>
                <c:pt idx="192">
                  <c:v>0.18329999999999999</c:v>
                </c:pt>
                <c:pt idx="193">
                  <c:v>0.18329999999999999</c:v>
                </c:pt>
                <c:pt idx="194">
                  <c:v>0.18379999999999999</c:v>
                </c:pt>
                <c:pt idx="195">
                  <c:v>0.18379999999999999</c:v>
                </c:pt>
                <c:pt idx="196">
                  <c:v>0.18479999999999999</c:v>
                </c:pt>
                <c:pt idx="197">
                  <c:v>0.18529999999999999</c:v>
                </c:pt>
                <c:pt idx="198">
                  <c:v>0.18529999999999999</c:v>
                </c:pt>
                <c:pt idx="199">
                  <c:v>0.18579999999999999</c:v>
                </c:pt>
                <c:pt idx="200">
                  <c:v>0.1862</c:v>
                </c:pt>
                <c:pt idx="201">
                  <c:v>0.18629999999999999</c:v>
                </c:pt>
                <c:pt idx="202">
                  <c:v>0.1867</c:v>
                </c:pt>
                <c:pt idx="203">
                  <c:v>0.18770000000000001</c:v>
                </c:pt>
                <c:pt idx="204">
                  <c:v>0.18770000000000001</c:v>
                </c:pt>
                <c:pt idx="205">
                  <c:v>0.18820000000000001</c:v>
                </c:pt>
                <c:pt idx="206">
                  <c:v>0.18870000000000001</c:v>
                </c:pt>
                <c:pt idx="207">
                  <c:v>0.18870000000000001</c:v>
                </c:pt>
                <c:pt idx="208">
                  <c:v>0.18920000000000001</c:v>
                </c:pt>
                <c:pt idx="209">
                  <c:v>0.18920000000000001</c:v>
                </c:pt>
                <c:pt idx="210">
                  <c:v>0.19020000000000001</c:v>
                </c:pt>
                <c:pt idx="211">
                  <c:v>0.19059999999999999</c:v>
                </c:pt>
                <c:pt idx="212">
                  <c:v>0.19070000000000001</c:v>
                </c:pt>
                <c:pt idx="213">
                  <c:v>0.19120000000000001</c:v>
                </c:pt>
                <c:pt idx="214">
                  <c:v>0.19120000000000001</c:v>
                </c:pt>
                <c:pt idx="215">
                  <c:v>0.19259999999999999</c:v>
                </c:pt>
                <c:pt idx="216">
                  <c:v>0.19270000000000001</c:v>
                </c:pt>
                <c:pt idx="217">
                  <c:v>0.19309999999999999</c:v>
                </c:pt>
                <c:pt idx="218">
                  <c:v>0.19359999999999999</c:v>
                </c:pt>
                <c:pt idx="219">
                  <c:v>0.19359999999999999</c:v>
                </c:pt>
                <c:pt idx="220">
                  <c:v>0.1946</c:v>
                </c:pt>
                <c:pt idx="221">
                  <c:v>0.1951</c:v>
                </c:pt>
                <c:pt idx="222">
                  <c:v>0.1951</c:v>
                </c:pt>
                <c:pt idx="223">
                  <c:v>0.1956</c:v>
                </c:pt>
                <c:pt idx="224">
                  <c:v>0.1961</c:v>
                </c:pt>
                <c:pt idx="225">
                  <c:v>0.1966</c:v>
                </c:pt>
                <c:pt idx="226">
                  <c:v>0.1966</c:v>
                </c:pt>
                <c:pt idx="227">
                  <c:v>0.1976</c:v>
                </c:pt>
                <c:pt idx="228">
                  <c:v>0.1986</c:v>
                </c:pt>
                <c:pt idx="229">
                  <c:v>0.19869999999999999</c:v>
                </c:pt>
                <c:pt idx="230">
                  <c:v>0.1991</c:v>
                </c:pt>
                <c:pt idx="231">
                  <c:v>0.2001</c:v>
                </c:pt>
                <c:pt idx="232">
                  <c:v>0.20069999999999999</c:v>
                </c:pt>
                <c:pt idx="233">
                  <c:v>0.2011</c:v>
                </c:pt>
                <c:pt idx="234">
                  <c:v>0.20119999999999999</c:v>
                </c:pt>
                <c:pt idx="235">
                  <c:v>0.20269999999999999</c:v>
                </c:pt>
                <c:pt idx="236">
                  <c:v>0.20269999999999999</c:v>
                </c:pt>
                <c:pt idx="237">
                  <c:v>0.20319999999999999</c:v>
                </c:pt>
                <c:pt idx="238">
                  <c:v>0.20369999999999999</c:v>
                </c:pt>
                <c:pt idx="239">
                  <c:v>0.20519999999999999</c:v>
                </c:pt>
                <c:pt idx="240">
                  <c:v>0.20619999999999999</c:v>
                </c:pt>
                <c:pt idx="241">
                  <c:v>0.20680000000000001</c:v>
                </c:pt>
                <c:pt idx="242">
                  <c:v>0.20780000000000001</c:v>
                </c:pt>
                <c:pt idx="243">
                  <c:v>0.20880000000000001</c:v>
                </c:pt>
                <c:pt idx="244">
                  <c:v>0.20880000000000001</c:v>
                </c:pt>
                <c:pt idx="245">
                  <c:v>0.20930000000000001</c:v>
                </c:pt>
                <c:pt idx="246">
                  <c:v>0.21079999999999999</c:v>
                </c:pt>
                <c:pt idx="247">
                  <c:v>0.2114</c:v>
                </c:pt>
                <c:pt idx="248">
                  <c:v>0.21290000000000001</c:v>
                </c:pt>
                <c:pt idx="249">
                  <c:v>0.21390000000000001</c:v>
                </c:pt>
                <c:pt idx="250">
                  <c:v>0.2155</c:v>
                </c:pt>
                <c:pt idx="251">
                  <c:v>0.21920000000000001</c:v>
                </c:pt>
                <c:pt idx="252">
                  <c:v>0.2218</c:v>
                </c:pt>
                <c:pt idx="253">
                  <c:v>0.2233</c:v>
                </c:pt>
                <c:pt idx="254">
                  <c:v>0.22969999999999999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D4-459D-9AEA-1ADA39F6FD4D}"/>
            </c:ext>
          </c:extLst>
        </c:ser>
        <c:ser>
          <c:idx val="4"/>
          <c:order val="3"/>
          <c:tx>
            <c:strRef>
              <c:f>'Figure D2a-D5-suppliers'!$FC$7</c:f>
              <c:strCache>
                <c:ptCount val="1"/>
                <c:pt idx="0">
                  <c:v>Strong comprehensive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'Figure D2a-D5-suppliers'!$EV$8:$EV$262</c:f>
              <c:numCache>
                <c:formatCode>0.00</c:formatCode>
                <c:ptCount val="255"/>
                <c:pt idx="0">
                  <c:v>0</c:v>
                </c:pt>
                <c:pt idx="1">
                  <c:v>0.04</c:v>
                </c:pt>
                <c:pt idx="2">
                  <c:v>6.6600000000000006E-2</c:v>
                </c:pt>
                <c:pt idx="3">
                  <c:v>0.08</c:v>
                </c:pt>
                <c:pt idx="4">
                  <c:v>0.1066</c:v>
                </c:pt>
                <c:pt idx="5">
                  <c:v>0.12</c:v>
                </c:pt>
                <c:pt idx="6">
                  <c:v>0.13320000000000001</c:v>
                </c:pt>
                <c:pt idx="7">
                  <c:v>0.13339999999999999</c:v>
                </c:pt>
                <c:pt idx="8">
                  <c:v>0.14660000000000001</c:v>
                </c:pt>
                <c:pt idx="9">
                  <c:v>0.16</c:v>
                </c:pt>
                <c:pt idx="10">
                  <c:v>0.17319999999999999</c:v>
                </c:pt>
                <c:pt idx="11">
                  <c:v>0.1734</c:v>
                </c:pt>
                <c:pt idx="12">
                  <c:v>0.18</c:v>
                </c:pt>
                <c:pt idx="13">
                  <c:v>0.18340000000000001</c:v>
                </c:pt>
                <c:pt idx="14">
                  <c:v>0.18659999999999999</c:v>
                </c:pt>
                <c:pt idx="15">
                  <c:v>0.19980000000000001</c:v>
                </c:pt>
                <c:pt idx="16">
                  <c:v>0.2</c:v>
                </c:pt>
                <c:pt idx="17">
                  <c:v>0.2132</c:v>
                </c:pt>
                <c:pt idx="18">
                  <c:v>0.21340000000000001</c:v>
                </c:pt>
                <c:pt idx="19">
                  <c:v>0.21659999999999999</c:v>
                </c:pt>
                <c:pt idx="20">
                  <c:v>0.22339999999999999</c:v>
                </c:pt>
                <c:pt idx="21">
                  <c:v>0.2266</c:v>
                </c:pt>
                <c:pt idx="22">
                  <c:v>0.24</c:v>
                </c:pt>
                <c:pt idx="23">
                  <c:v>0.25</c:v>
                </c:pt>
                <c:pt idx="24">
                  <c:v>0.25319999999999998</c:v>
                </c:pt>
                <c:pt idx="25">
                  <c:v>0.25340000000000001</c:v>
                </c:pt>
                <c:pt idx="26">
                  <c:v>0.26340000000000002</c:v>
                </c:pt>
                <c:pt idx="27">
                  <c:v>0.2666</c:v>
                </c:pt>
                <c:pt idx="28">
                  <c:v>0.26679999999999998</c:v>
                </c:pt>
                <c:pt idx="29">
                  <c:v>0.27660000000000001</c:v>
                </c:pt>
                <c:pt idx="30">
                  <c:v>0.28000000000000003</c:v>
                </c:pt>
                <c:pt idx="31">
                  <c:v>0.28660000000000002</c:v>
                </c:pt>
                <c:pt idx="32">
                  <c:v>0.29320000000000002</c:v>
                </c:pt>
                <c:pt idx="33">
                  <c:v>0.29339999999999999</c:v>
                </c:pt>
                <c:pt idx="34">
                  <c:v>0.30659999999999998</c:v>
                </c:pt>
                <c:pt idx="35">
                  <c:v>0.30680000000000002</c:v>
                </c:pt>
                <c:pt idx="36">
                  <c:v>0.31659999999999999</c:v>
                </c:pt>
                <c:pt idx="37">
                  <c:v>0.31979999999999997</c:v>
                </c:pt>
                <c:pt idx="38">
                  <c:v>0.32</c:v>
                </c:pt>
                <c:pt idx="39">
                  <c:v>0.32319999999999999</c:v>
                </c:pt>
                <c:pt idx="40">
                  <c:v>0.33</c:v>
                </c:pt>
                <c:pt idx="41">
                  <c:v>0.3332</c:v>
                </c:pt>
                <c:pt idx="42">
                  <c:v>0.33339999999999997</c:v>
                </c:pt>
                <c:pt idx="43">
                  <c:v>0.34339999999999998</c:v>
                </c:pt>
                <c:pt idx="44">
                  <c:v>0.34660000000000002</c:v>
                </c:pt>
                <c:pt idx="45">
                  <c:v>0.3468</c:v>
                </c:pt>
                <c:pt idx="46">
                  <c:v>0.35</c:v>
                </c:pt>
                <c:pt idx="47">
                  <c:v>0.35339999999999999</c:v>
                </c:pt>
                <c:pt idx="48">
                  <c:v>0.35680000000000001</c:v>
                </c:pt>
                <c:pt idx="49">
                  <c:v>0.35980000000000001</c:v>
                </c:pt>
                <c:pt idx="50">
                  <c:v>0.36</c:v>
                </c:pt>
                <c:pt idx="51">
                  <c:v>0.3634</c:v>
                </c:pt>
                <c:pt idx="52">
                  <c:v>0.36659999999999998</c:v>
                </c:pt>
                <c:pt idx="53">
                  <c:v>0.37319999999999998</c:v>
                </c:pt>
                <c:pt idx="54">
                  <c:v>0.37340000000000001</c:v>
                </c:pt>
                <c:pt idx="55">
                  <c:v>0.37659999999999999</c:v>
                </c:pt>
                <c:pt idx="56">
                  <c:v>0.38</c:v>
                </c:pt>
                <c:pt idx="57">
                  <c:v>0.38319999999999999</c:v>
                </c:pt>
                <c:pt idx="58">
                  <c:v>0.38340000000000002</c:v>
                </c:pt>
                <c:pt idx="59">
                  <c:v>0.3866</c:v>
                </c:pt>
                <c:pt idx="60">
                  <c:v>0.38679999999999998</c:v>
                </c:pt>
                <c:pt idx="61">
                  <c:v>0.38979999999999998</c:v>
                </c:pt>
                <c:pt idx="62">
                  <c:v>0.39</c:v>
                </c:pt>
                <c:pt idx="63">
                  <c:v>0.39319999999999999</c:v>
                </c:pt>
                <c:pt idx="64">
                  <c:v>0.39340000000000003</c:v>
                </c:pt>
                <c:pt idx="65">
                  <c:v>0.39660000000000001</c:v>
                </c:pt>
                <c:pt idx="66">
                  <c:v>0.39679999999999999</c:v>
                </c:pt>
                <c:pt idx="67">
                  <c:v>0.39979999999999999</c:v>
                </c:pt>
                <c:pt idx="68">
                  <c:v>0.4</c:v>
                </c:pt>
                <c:pt idx="69">
                  <c:v>0.4002</c:v>
                </c:pt>
                <c:pt idx="70">
                  <c:v>0.41</c:v>
                </c:pt>
                <c:pt idx="71">
                  <c:v>0.41320000000000001</c:v>
                </c:pt>
                <c:pt idx="72">
                  <c:v>0.41339999999999999</c:v>
                </c:pt>
                <c:pt idx="73">
                  <c:v>0.41660000000000003</c:v>
                </c:pt>
                <c:pt idx="74">
                  <c:v>0.4234</c:v>
                </c:pt>
                <c:pt idx="75">
                  <c:v>0.42659999999999998</c:v>
                </c:pt>
                <c:pt idx="76">
                  <c:v>0.42680000000000001</c:v>
                </c:pt>
                <c:pt idx="77">
                  <c:v>0.43340000000000001</c:v>
                </c:pt>
                <c:pt idx="78">
                  <c:v>0.44</c:v>
                </c:pt>
                <c:pt idx="79">
                  <c:v>0.44019999999999998</c:v>
                </c:pt>
                <c:pt idx="80">
                  <c:v>0.44319999999999998</c:v>
                </c:pt>
                <c:pt idx="81">
                  <c:v>0.44340000000000002</c:v>
                </c:pt>
                <c:pt idx="82">
                  <c:v>0.4466</c:v>
                </c:pt>
                <c:pt idx="83">
                  <c:v>0.44679999999999997</c:v>
                </c:pt>
                <c:pt idx="84">
                  <c:v>0.45</c:v>
                </c:pt>
                <c:pt idx="85">
                  <c:v>0.45019999999999999</c:v>
                </c:pt>
                <c:pt idx="86">
                  <c:v>0.45319999999999999</c:v>
                </c:pt>
                <c:pt idx="87">
                  <c:v>0.45340000000000003</c:v>
                </c:pt>
                <c:pt idx="88">
                  <c:v>0.45979999999999999</c:v>
                </c:pt>
                <c:pt idx="89">
                  <c:v>0.46</c:v>
                </c:pt>
                <c:pt idx="90">
                  <c:v>0.46339999999999998</c:v>
                </c:pt>
                <c:pt idx="91">
                  <c:v>0.46660000000000001</c:v>
                </c:pt>
                <c:pt idx="92">
                  <c:v>0.46679999999999999</c:v>
                </c:pt>
                <c:pt idx="93">
                  <c:v>0.4698</c:v>
                </c:pt>
                <c:pt idx="94">
                  <c:v>0.47</c:v>
                </c:pt>
                <c:pt idx="95">
                  <c:v>0.47660000000000002</c:v>
                </c:pt>
                <c:pt idx="96">
                  <c:v>0.4768</c:v>
                </c:pt>
                <c:pt idx="97">
                  <c:v>0.48</c:v>
                </c:pt>
                <c:pt idx="98">
                  <c:v>0.48020000000000002</c:v>
                </c:pt>
                <c:pt idx="99">
                  <c:v>0.48320000000000002</c:v>
                </c:pt>
                <c:pt idx="100">
                  <c:v>0.4834</c:v>
                </c:pt>
                <c:pt idx="101">
                  <c:v>0.49</c:v>
                </c:pt>
                <c:pt idx="102">
                  <c:v>0.49320000000000003</c:v>
                </c:pt>
                <c:pt idx="103">
                  <c:v>0.49340000000000001</c:v>
                </c:pt>
                <c:pt idx="104">
                  <c:v>0.49659999999999999</c:v>
                </c:pt>
                <c:pt idx="105">
                  <c:v>0.49680000000000002</c:v>
                </c:pt>
                <c:pt idx="106">
                  <c:v>0.5</c:v>
                </c:pt>
                <c:pt idx="107">
                  <c:v>0.50660000000000005</c:v>
                </c:pt>
                <c:pt idx="108">
                  <c:v>0.50680000000000003</c:v>
                </c:pt>
                <c:pt idx="109">
                  <c:v>0.51</c:v>
                </c:pt>
                <c:pt idx="110">
                  <c:v>0.51659999999999995</c:v>
                </c:pt>
                <c:pt idx="111">
                  <c:v>0.51680000000000004</c:v>
                </c:pt>
                <c:pt idx="112">
                  <c:v>0.52</c:v>
                </c:pt>
                <c:pt idx="113">
                  <c:v>0.5202</c:v>
                </c:pt>
                <c:pt idx="114">
                  <c:v>0.52339999999999998</c:v>
                </c:pt>
                <c:pt idx="115">
                  <c:v>0.52659999999999996</c:v>
                </c:pt>
                <c:pt idx="116">
                  <c:v>0.52680000000000005</c:v>
                </c:pt>
                <c:pt idx="117">
                  <c:v>0.53</c:v>
                </c:pt>
                <c:pt idx="118">
                  <c:v>0.53320000000000001</c:v>
                </c:pt>
                <c:pt idx="119">
                  <c:v>0.53339999999999999</c:v>
                </c:pt>
                <c:pt idx="120">
                  <c:v>0.53659999999999997</c:v>
                </c:pt>
                <c:pt idx="121">
                  <c:v>0.54</c:v>
                </c:pt>
                <c:pt idx="122">
                  <c:v>0.54320000000000002</c:v>
                </c:pt>
                <c:pt idx="123">
                  <c:v>0.54339999999999999</c:v>
                </c:pt>
                <c:pt idx="124">
                  <c:v>0.54659999999999997</c:v>
                </c:pt>
                <c:pt idx="125">
                  <c:v>0.54679999999999995</c:v>
                </c:pt>
                <c:pt idx="126">
                  <c:v>0.55000000000000004</c:v>
                </c:pt>
                <c:pt idx="127">
                  <c:v>0.55320000000000003</c:v>
                </c:pt>
                <c:pt idx="128">
                  <c:v>0.56000000000000005</c:v>
                </c:pt>
                <c:pt idx="129">
                  <c:v>0.56020000000000003</c:v>
                </c:pt>
                <c:pt idx="130">
                  <c:v>0.56340000000000001</c:v>
                </c:pt>
                <c:pt idx="131">
                  <c:v>0.56659999999999999</c:v>
                </c:pt>
                <c:pt idx="132">
                  <c:v>0.56679999999999997</c:v>
                </c:pt>
                <c:pt idx="133">
                  <c:v>0.56999999999999995</c:v>
                </c:pt>
                <c:pt idx="134">
                  <c:v>0.57320000000000004</c:v>
                </c:pt>
                <c:pt idx="135">
                  <c:v>0.57340000000000002</c:v>
                </c:pt>
                <c:pt idx="136">
                  <c:v>0.5766</c:v>
                </c:pt>
                <c:pt idx="137">
                  <c:v>0.57679999999999998</c:v>
                </c:pt>
                <c:pt idx="138">
                  <c:v>0.57999999999999996</c:v>
                </c:pt>
                <c:pt idx="139">
                  <c:v>0.58020000000000005</c:v>
                </c:pt>
                <c:pt idx="140">
                  <c:v>0.58320000000000005</c:v>
                </c:pt>
                <c:pt idx="141">
                  <c:v>0.58340000000000003</c:v>
                </c:pt>
                <c:pt idx="142">
                  <c:v>0.58660000000000001</c:v>
                </c:pt>
                <c:pt idx="143">
                  <c:v>0.58679999999999999</c:v>
                </c:pt>
                <c:pt idx="144">
                  <c:v>0.59319999999999995</c:v>
                </c:pt>
                <c:pt idx="145">
                  <c:v>0.59340000000000004</c:v>
                </c:pt>
                <c:pt idx="146">
                  <c:v>0.59660000000000002</c:v>
                </c:pt>
                <c:pt idx="147">
                  <c:v>0.5968</c:v>
                </c:pt>
                <c:pt idx="148">
                  <c:v>0.5998</c:v>
                </c:pt>
                <c:pt idx="149">
                  <c:v>0.6</c:v>
                </c:pt>
                <c:pt idx="150">
                  <c:v>0.60019999999999996</c:v>
                </c:pt>
                <c:pt idx="151">
                  <c:v>0.60319999999999996</c:v>
                </c:pt>
                <c:pt idx="152">
                  <c:v>0.60340000000000005</c:v>
                </c:pt>
                <c:pt idx="153">
                  <c:v>0.60680000000000001</c:v>
                </c:pt>
                <c:pt idx="154">
                  <c:v>0.61</c:v>
                </c:pt>
                <c:pt idx="155">
                  <c:v>0.61019999999999996</c:v>
                </c:pt>
                <c:pt idx="156">
                  <c:v>0.61319999999999997</c:v>
                </c:pt>
                <c:pt idx="157">
                  <c:v>0.61339999999999995</c:v>
                </c:pt>
                <c:pt idx="158">
                  <c:v>0.61660000000000004</c:v>
                </c:pt>
                <c:pt idx="159">
                  <c:v>0.61680000000000001</c:v>
                </c:pt>
                <c:pt idx="160">
                  <c:v>0.62</c:v>
                </c:pt>
                <c:pt idx="161">
                  <c:v>0.62019999999999997</c:v>
                </c:pt>
                <c:pt idx="162">
                  <c:v>0.62339999999999995</c:v>
                </c:pt>
                <c:pt idx="163">
                  <c:v>0.62660000000000005</c:v>
                </c:pt>
                <c:pt idx="164">
                  <c:v>0.62680000000000002</c:v>
                </c:pt>
                <c:pt idx="165">
                  <c:v>0.63</c:v>
                </c:pt>
                <c:pt idx="166">
                  <c:v>0.63319999999999999</c:v>
                </c:pt>
                <c:pt idx="167">
                  <c:v>0.63339999999999996</c:v>
                </c:pt>
                <c:pt idx="168">
                  <c:v>0.63680000000000003</c:v>
                </c:pt>
                <c:pt idx="169">
                  <c:v>0.64</c:v>
                </c:pt>
                <c:pt idx="170">
                  <c:v>0.64319999999999999</c:v>
                </c:pt>
                <c:pt idx="171">
                  <c:v>0.64339999999999997</c:v>
                </c:pt>
                <c:pt idx="172">
                  <c:v>0.64659999999999995</c:v>
                </c:pt>
                <c:pt idx="173">
                  <c:v>0.65</c:v>
                </c:pt>
                <c:pt idx="174">
                  <c:v>0.6502</c:v>
                </c:pt>
                <c:pt idx="175">
                  <c:v>0.6532</c:v>
                </c:pt>
                <c:pt idx="176">
                  <c:v>0.65339999999999998</c:v>
                </c:pt>
                <c:pt idx="177">
                  <c:v>0.66</c:v>
                </c:pt>
                <c:pt idx="178">
                  <c:v>0.66020000000000001</c:v>
                </c:pt>
                <c:pt idx="179">
                  <c:v>0.66339999999999999</c:v>
                </c:pt>
                <c:pt idx="180">
                  <c:v>0.66659999999999997</c:v>
                </c:pt>
                <c:pt idx="181">
                  <c:v>0.66679999999999995</c:v>
                </c:pt>
                <c:pt idx="182">
                  <c:v>0.67</c:v>
                </c:pt>
                <c:pt idx="183">
                  <c:v>0.67659999999999998</c:v>
                </c:pt>
                <c:pt idx="184">
                  <c:v>0.67679999999999996</c:v>
                </c:pt>
                <c:pt idx="185">
                  <c:v>0.68</c:v>
                </c:pt>
                <c:pt idx="186">
                  <c:v>0.68020000000000003</c:v>
                </c:pt>
                <c:pt idx="187">
                  <c:v>0.68320000000000003</c:v>
                </c:pt>
                <c:pt idx="188">
                  <c:v>0.68340000000000001</c:v>
                </c:pt>
                <c:pt idx="189">
                  <c:v>0.68679999999999997</c:v>
                </c:pt>
                <c:pt idx="190">
                  <c:v>0.69320000000000004</c:v>
                </c:pt>
                <c:pt idx="191">
                  <c:v>0.69340000000000002</c:v>
                </c:pt>
                <c:pt idx="192">
                  <c:v>0.6966</c:v>
                </c:pt>
                <c:pt idx="193">
                  <c:v>0.69679999999999997</c:v>
                </c:pt>
                <c:pt idx="194">
                  <c:v>0.7</c:v>
                </c:pt>
                <c:pt idx="195">
                  <c:v>0.70020000000000004</c:v>
                </c:pt>
                <c:pt idx="196">
                  <c:v>0.70679999999999998</c:v>
                </c:pt>
                <c:pt idx="197">
                  <c:v>0.71</c:v>
                </c:pt>
                <c:pt idx="198">
                  <c:v>0.71020000000000005</c:v>
                </c:pt>
                <c:pt idx="199">
                  <c:v>0.71340000000000003</c:v>
                </c:pt>
                <c:pt idx="200">
                  <c:v>0.71660000000000001</c:v>
                </c:pt>
                <c:pt idx="201">
                  <c:v>0.71679999999999999</c:v>
                </c:pt>
                <c:pt idx="202">
                  <c:v>0.72</c:v>
                </c:pt>
                <c:pt idx="203">
                  <c:v>0.72660000000000002</c:v>
                </c:pt>
                <c:pt idx="204">
                  <c:v>0.7268</c:v>
                </c:pt>
                <c:pt idx="205">
                  <c:v>0.73</c:v>
                </c:pt>
                <c:pt idx="206">
                  <c:v>0.73319999999999996</c:v>
                </c:pt>
                <c:pt idx="207">
                  <c:v>0.73340000000000005</c:v>
                </c:pt>
                <c:pt idx="208">
                  <c:v>0.73660000000000003</c:v>
                </c:pt>
                <c:pt idx="209">
                  <c:v>0.73680000000000001</c:v>
                </c:pt>
                <c:pt idx="210">
                  <c:v>0.74339999999999995</c:v>
                </c:pt>
                <c:pt idx="211">
                  <c:v>0.74660000000000004</c:v>
                </c:pt>
                <c:pt idx="212">
                  <c:v>0.74680000000000002</c:v>
                </c:pt>
                <c:pt idx="213">
                  <c:v>0.75</c:v>
                </c:pt>
                <c:pt idx="214">
                  <c:v>0.75019999999999998</c:v>
                </c:pt>
                <c:pt idx="215">
                  <c:v>0.76</c:v>
                </c:pt>
                <c:pt idx="216">
                  <c:v>0.76019999999999999</c:v>
                </c:pt>
                <c:pt idx="217">
                  <c:v>0.76339999999999997</c:v>
                </c:pt>
                <c:pt idx="218">
                  <c:v>0.76659999999999995</c:v>
                </c:pt>
                <c:pt idx="219">
                  <c:v>0.76680000000000004</c:v>
                </c:pt>
                <c:pt idx="220">
                  <c:v>0.77339999999999998</c:v>
                </c:pt>
                <c:pt idx="221">
                  <c:v>0.77659999999999996</c:v>
                </c:pt>
                <c:pt idx="222">
                  <c:v>0.77680000000000005</c:v>
                </c:pt>
                <c:pt idx="223">
                  <c:v>0.78</c:v>
                </c:pt>
                <c:pt idx="224">
                  <c:v>0.78339999999999999</c:v>
                </c:pt>
                <c:pt idx="225">
                  <c:v>0.78659999999999997</c:v>
                </c:pt>
                <c:pt idx="226">
                  <c:v>0.78680000000000005</c:v>
                </c:pt>
                <c:pt idx="227">
                  <c:v>0.79339999999999999</c:v>
                </c:pt>
                <c:pt idx="228">
                  <c:v>0.8</c:v>
                </c:pt>
                <c:pt idx="229">
                  <c:v>0.80020000000000002</c:v>
                </c:pt>
                <c:pt idx="230">
                  <c:v>0.8034</c:v>
                </c:pt>
                <c:pt idx="231">
                  <c:v>0.81</c:v>
                </c:pt>
                <c:pt idx="232">
                  <c:v>0.81340000000000001</c:v>
                </c:pt>
                <c:pt idx="233">
                  <c:v>0.81659999999999999</c:v>
                </c:pt>
                <c:pt idx="234">
                  <c:v>0.81679999999999997</c:v>
                </c:pt>
                <c:pt idx="235">
                  <c:v>0.8266</c:v>
                </c:pt>
                <c:pt idx="236">
                  <c:v>0.82679999999999998</c:v>
                </c:pt>
                <c:pt idx="237">
                  <c:v>0.83</c:v>
                </c:pt>
                <c:pt idx="238">
                  <c:v>0.83340000000000003</c:v>
                </c:pt>
                <c:pt idx="239">
                  <c:v>0.84340000000000004</c:v>
                </c:pt>
                <c:pt idx="240">
                  <c:v>0.85</c:v>
                </c:pt>
                <c:pt idx="241">
                  <c:v>0.85340000000000005</c:v>
                </c:pt>
                <c:pt idx="242">
                  <c:v>0.86</c:v>
                </c:pt>
                <c:pt idx="243">
                  <c:v>0.86660000000000004</c:v>
                </c:pt>
                <c:pt idx="244">
                  <c:v>0.86680000000000001</c:v>
                </c:pt>
                <c:pt idx="245">
                  <c:v>0.87</c:v>
                </c:pt>
                <c:pt idx="246">
                  <c:v>0.88</c:v>
                </c:pt>
                <c:pt idx="247">
                  <c:v>0.88339999999999996</c:v>
                </c:pt>
                <c:pt idx="248">
                  <c:v>0.89339999999999997</c:v>
                </c:pt>
                <c:pt idx="249">
                  <c:v>0.9</c:v>
                </c:pt>
                <c:pt idx="250">
                  <c:v>0.91</c:v>
                </c:pt>
                <c:pt idx="251">
                  <c:v>0.93340000000000001</c:v>
                </c:pt>
                <c:pt idx="252">
                  <c:v>0.95</c:v>
                </c:pt>
                <c:pt idx="253">
                  <c:v>0.96</c:v>
                </c:pt>
                <c:pt idx="254">
                  <c:v>1</c:v>
                </c:pt>
              </c:numCache>
            </c:numRef>
          </c:xVal>
          <c:yVal>
            <c:numRef>
              <c:f>'Figure D2a-D5-suppliers'!$FC$8:$FC$262</c:f>
              <c:numCache>
                <c:formatCode>General</c:formatCode>
                <c:ptCount val="255"/>
                <c:pt idx="0">
                  <c:v>3.5200000000000002E-2</c:v>
                </c:pt>
                <c:pt idx="1">
                  <c:v>3.32E-2</c:v>
                </c:pt>
                <c:pt idx="2">
                  <c:v>3.1899999999999998E-2</c:v>
                </c:pt>
                <c:pt idx="3">
                  <c:v>3.1300000000000001E-2</c:v>
                </c:pt>
                <c:pt idx="4">
                  <c:v>3.0099999999999998E-2</c:v>
                </c:pt>
                <c:pt idx="5">
                  <c:v>2.9600000000000001E-2</c:v>
                </c:pt>
                <c:pt idx="6">
                  <c:v>2.9000000000000001E-2</c:v>
                </c:pt>
                <c:pt idx="7">
                  <c:v>2.9000000000000001E-2</c:v>
                </c:pt>
                <c:pt idx="8">
                  <c:v>2.8400000000000002E-2</c:v>
                </c:pt>
                <c:pt idx="9">
                  <c:v>2.7900000000000001E-2</c:v>
                </c:pt>
                <c:pt idx="10">
                  <c:v>2.7300000000000001E-2</c:v>
                </c:pt>
                <c:pt idx="11">
                  <c:v>2.7300000000000001E-2</c:v>
                </c:pt>
                <c:pt idx="12">
                  <c:v>2.7E-2</c:v>
                </c:pt>
                <c:pt idx="13">
                  <c:v>2.69E-2</c:v>
                </c:pt>
                <c:pt idx="14">
                  <c:v>2.6800000000000001E-2</c:v>
                </c:pt>
                <c:pt idx="15">
                  <c:v>2.63E-2</c:v>
                </c:pt>
                <c:pt idx="16">
                  <c:v>2.6200000000000001E-2</c:v>
                </c:pt>
                <c:pt idx="17">
                  <c:v>2.5700000000000001E-2</c:v>
                </c:pt>
                <c:pt idx="18">
                  <c:v>2.5700000000000001E-2</c:v>
                </c:pt>
                <c:pt idx="19">
                  <c:v>2.5600000000000001E-2</c:v>
                </c:pt>
                <c:pt idx="20">
                  <c:v>2.53E-2</c:v>
                </c:pt>
                <c:pt idx="21">
                  <c:v>2.52E-2</c:v>
                </c:pt>
                <c:pt idx="22">
                  <c:v>2.47E-2</c:v>
                </c:pt>
                <c:pt idx="23">
                  <c:v>2.4400000000000002E-2</c:v>
                </c:pt>
                <c:pt idx="24">
                  <c:v>2.4199999999999999E-2</c:v>
                </c:pt>
                <c:pt idx="25">
                  <c:v>2.4199999999999999E-2</c:v>
                </c:pt>
                <c:pt idx="26">
                  <c:v>2.3900000000000001E-2</c:v>
                </c:pt>
                <c:pt idx="27">
                  <c:v>2.3800000000000002E-2</c:v>
                </c:pt>
                <c:pt idx="28">
                  <c:v>2.3699999999999999E-2</c:v>
                </c:pt>
                <c:pt idx="29">
                  <c:v>2.3400000000000001E-2</c:v>
                </c:pt>
                <c:pt idx="30">
                  <c:v>2.3300000000000001E-2</c:v>
                </c:pt>
                <c:pt idx="31">
                  <c:v>2.3E-2</c:v>
                </c:pt>
                <c:pt idx="32">
                  <c:v>2.2800000000000001E-2</c:v>
                </c:pt>
                <c:pt idx="33">
                  <c:v>2.2800000000000001E-2</c:v>
                </c:pt>
                <c:pt idx="34">
                  <c:v>2.24E-2</c:v>
                </c:pt>
                <c:pt idx="35">
                  <c:v>2.23E-2</c:v>
                </c:pt>
                <c:pt idx="36">
                  <c:v>2.1999999999999999E-2</c:v>
                </c:pt>
                <c:pt idx="37">
                  <c:v>2.1899999999999999E-2</c:v>
                </c:pt>
                <c:pt idx="38">
                  <c:v>2.1899999999999999E-2</c:v>
                </c:pt>
                <c:pt idx="39">
                  <c:v>2.18E-2</c:v>
                </c:pt>
                <c:pt idx="40">
                  <c:v>2.1600000000000001E-2</c:v>
                </c:pt>
                <c:pt idx="41">
                  <c:v>2.1499999999999998E-2</c:v>
                </c:pt>
                <c:pt idx="42">
                  <c:v>2.1499999999999998E-2</c:v>
                </c:pt>
                <c:pt idx="43">
                  <c:v>2.1100000000000001E-2</c:v>
                </c:pt>
                <c:pt idx="44">
                  <c:v>2.1000000000000001E-2</c:v>
                </c:pt>
                <c:pt idx="45">
                  <c:v>2.1000000000000001E-2</c:v>
                </c:pt>
                <c:pt idx="46">
                  <c:v>2.0899999999999998E-2</c:v>
                </c:pt>
                <c:pt idx="47">
                  <c:v>2.0799999999999999E-2</c:v>
                </c:pt>
                <c:pt idx="48">
                  <c:v>2.07E-2</c:v>
                </c:pt>
                <c:pt idx="49">
                  <c:v>2.06E-2</c:v>
                </c:pt>
                <c:pt idx="50">
                  <c:v>2.06E-2</c:v>
                </c:pt>
                <c:pt idx="51">
                  <c:v>2.0500000000000001E-2</c:v>
                </c:pt>
                <c:pt idx="52">
                  <c:v>2.0400000000000001E-2</c:v>
                </c:pt>
                <c:pt idx="53">
                  <c:v>2.0199999999999999E-2</c:v>
                </c:pt>
                <c:pt idx="54">
                  <c:v>2.0199999999999999E-2</c:v>
                </c:pt>
                <c:pt idx="55">
                  <c:v>2.01E-2</c:v>
                </c:pt>
                <c:pt idx="56">
                  <c:v>0.02</c:v>
                </c:pt>
                <c:pt idx="57">
                  <c:v>1.9900000000000001E-2</c:v>
                </c:pt>
                <c:pt idx="58">
                  <c:v>1.9900000000000001E-2</c:v>
                </c:pt>
                <c:pt idx="59">
                  <c:v>1.9800000000000002E-2</c:v>
                </c:pt>
                <c:pt idx="60">
                  <c:v>1.9800000000000002E-2</c:v>
                </c:pt>
                <c:pt idx="61">
                  <c:v>1.9699999999999999E-2</c:v>
                </c:pt>
                <c:pt idx="62">
                  <c:v>1.9699999999999999E-2</c:v>
                </c:pt>
                <c:pt idx="63">
                  <c:v>1.9599999999999999E-2</c:v>
                </c:pt>
                <c:pt idx="64">
                  <c:v>1.9599999999999999E-2</c:v>
                </c:pt>
                <c:pt idx="65">
                  <c:v>1.95E-2</c:v>
                </c:pt>
                <c:pt idx="66">
                  <c:v>1.95E-2</c:v>
                </c:pt>
                <c:pt idx="67">
                  <c:v>1.9400000000000001E-2</c:v>
                </c:pt>
                <c:pt idx="68">
                  <c:v>1.9400000000000001E-2</c:v>
                </c:pt>
                <c:pt idx="69">
                  <c:v>1.9400000000000001E-2</c:v>
                </c:pt>
                <c:pt idx="70">
                  <c:v>1.9099999999999999E-2</c:v>
                </c:pt>
                <c:pt idx="71">
                  <c:v>1.9E-2</c:v>
                </c:pt>
                <c:pt idx="72">
                  <c:v>1.9E-2</c:v>
                </c:pt>
                <c:pt idx="73">
                  <c:v>1.89E-2</c:v>
                </c:pt>
                <c:pt idx="74">
                  <c:v>1.8700000000000001E-2</c:v>
                </c:pt>
                <c:pt idx="75">
                  <c:v>1.8599999999999998E-2</c:v>
                </c:pt>
                <c:pt idx="76">
                  <c:v>1.8599999999999998E-2</c:v>
                </c:pt>
                <c:pt idx="77">
                  <c:v>1.84E-2</c:v>
                </c:pt>
                <c:pt idx="78">
                  <c:v>1.8200000000000001E-2</c:v>
                </c:pt>
                <c:pt idx="79">
                  <c:v>1.8200000000000001E-2</c:v>
                </c:pt>
                <c:pt idx="80">
                  <c:v>1.8100000000000002E-2</c:v>
                </c:pt>
                <c:pt idx="81">
                  <c:v>1.8100000000000002E-2</c:v>
                </c:pt>
                <c:pt idx="82">
                  <c:v>1.7999999999999999E-2</c:v>
                </c:pt>
                <c:pt idx="83">
                  <c:v>1.7999999999999999E-2</c:v>
                </c:pt>
                <c:pt idx="84">
                  <c:v>1.7899999999999999E-2</c:v>
                </c:pt>
                <c:pt idx="85">
                  <c:v>1.7899999999999999E-2</c:v>
                </c:pt>
                <c:pt idx="86">
                  <c:v>1.78E-2</c:v>
                </c:pt>
                <c:pt idx="87">
                  <c:v>1.78E-2</c:v>
                </c:pt>
                <c:pt idx="88">
                  <c:v>1.7600000000000001E-2</c:v>
                </c:pt>
                <c:pt idx="89">
                  <c:v>1.7600000000000001E-2</c:v>
                </c:pt>
                <c:pt idx="90">
                  <c:v>1.7500000000000002E-2</c:v>
                </c:pt>
                <c:pt idx="91">
                  <c:v>1.7399999999999999E-2</c:v>
                </c:pt>
                <c:pt idx="92">
                  <c:v>1.7399999999999999E-2</c:v>
                </c:pt>
                <c:pt idx="93">
                  <c:v>1.7399999999999999E-2</c:v>
                </c:pt>
                <c:pt idx="94">
                  <c:v>1.7399999999999999E-2</c:v>
                </c:pt>
                <c:pt idx="95">
                  <c:v>1.72E-2</c:v>
                </c:pt>
                <c:pt idx="96">
                  <c:v>1.72E-2</c:v>
                </c:pt>
                <c:pt idx="97">
                  <c:v>1.7100000000000001E-2</c:v>
                </c:pt>
                <c:pt idx="98">
                  <c:v>1.7100000000000001E-2</c:v>
                </c:pt>
                <c:pt idx="99">
                  <c:v>1.7000000000000001E-2</c:v>
                </c:pt>
                <c:pt idx="100">
                  <c:v>1.7000000000000001E-2</c:v>
                </c:pt>
                <c:pt idx="101">
                  <c:v>1.6799999999999999E-2</c:v>
                </c:pt>
                <c:pt idx="102">
                  <c:v>1.67E-2</c:v>
                </c:pt>
                <c:pt idx="103">
                  <c:v>1.67E-2</c:v>
                </c:pt>
                <c:pt idx="104">
                  <c:v>1.66E-2</c:v>
                </c:pt>
                <c:pt idx="105">
                  <c:v>1.66E-2</c:v>
                </c:pt>
                <c:pt idx="106">
                  <c:v>1.6500000000000001E-2</c:v>
                </c:pt>
                <c:pt idx="107">
                  <c:v>1.6400000000000001E-2</c:v>
                </c:pt>
                <c:pt idx="108">
                  <c:v>1.6400000000000001E-2</c:v>
                </c:pt>
                <c:pt idx="109">
                  <c:v>1.6299999999999999E-2</c:v>
                </c:pt>
                <c:pt idx="110">
                  <c:v>1.61E-2</c:v>
                </c:pt>
                <c:pt idx="111">
                  <c:v>1.61E-2</c:v>
                </c:pt>
                <c:pt idx="112">
                  <c:v>1.6E-2</c:v>
                </c:pt>
                <c:pt idx="113">
                  <c:v>1.6E-2</c:v>
                </c:pt>
                <c:pt idx="114">
                  <c:v>1.5900000000000001E-2</c:v>
                </c:pt>
                <c:pt idx="115">
                  <c:v>1.5900000000000001E-2</c:v>
                </c:pt>
                <c:pt idx="116">
                  <c:v>1.5900000000000001E-2</c:v>
                </c:pt>
                <c:pt idx="117">
                  <c:v>1.5800000000000002E-2</c:v>
                </c:pt>
                <c:pt idx="118">
                  <c:v>1.5699999999999999E-2</c:v>
                </c:pt>
                <c:pt idx="119">
                  <c:v>1.5699999999999999E-2</c:v>
                </c:pt>
                <c:pt idx="120">
                  <c:v>1.5599999999999999E-2</c:v>
                </c:pt>
                <c:pt idx="121">
                  <c:v>1.55E-2</c:v>
                </c:pt>
                <c:pt idx="122">
                  <c:v>1.55E-2</c:v>
                </c:pt>
                <c:pt idx="123">
                  <c:v>1.54E-2</c:v>
                </c:pt>
                <c:pt idx="124">
                  <c:v>1.54E-2</c:v>
                </c:pt>
                <c:pt idx="125">
                  <c:v>1.54E-2</c:v>
                </c:pt>
                <c:pt idx="126">
                  <c:v>1.5299999999999999E-2</c:v>
                </c:pt>
                <c:pt idx="127">
                  <c:v>1.52E-2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1.49E-2</c:v>
                </c:pt>
                <c:pt idx="132">
                  <c:v>1.49E-2</c:v>
                </c:pt>
                <c:pt idx="133">
                  <c:v>1.4800000000000001E-2</c:v>
                </c:pt>
                <c:pt idx="134">
                  <c:v>1.47E-2</c:v>
                </c:pt>
                <c:pt idx="135">
                  <c:v>1.47E-2</c:v>
                </c:pt>
                <c:pt idx="136">
                  <c:v>1.46E-2</c:v>
                </c:pt>
                <c:pt idx="137">
                  <c:v>1.46E-2</c:v>
                </c:pt>
                <c:pt idx="138">
                  <c:v>1.46E-2</c:v>
                </c:pt>
                <c:pt idx="139">
                  <c:v>1.46E-2</c:v>
                </c:pt>
                <c:pt idx="140">
                  <c:v>1.4500000000000001E-2</c:v>
                </c:pt>
                <c:pt idx="141">
                  <c:v>1.4500000000000001E-2</c:v>
                </c:pt>
                <c:pt idx="142">
                  <c:v>1.44E-2</c:v>
                </c:pt>
                <c:pt idx="143">
                  <c:v>1.44E-2</c:v>
                </c:pt>
                <c:pt idx="144">
                  <c:v>1.43E-2</c:v>
                </c:pt>
                <c:pt idx="145">
                  <c:v>1.43E-2</c:v>
                </c:pt>
                <c:pt idx="146">
                  <c:v>1.4200000000000001E-2</c:v>
                </c:pt>
                <c:pt idx="147">
                  <c:v>1.4200000000000001E-2</c:v>
                </c:pt>
                <c:pt idx="148">
                  <c:v>1.41E-2</c:v>
                </c:pt>
                <c:pt idx="149">
                  <c:v>1.41E-2</c:v>
                </c:pt>
                <c:pt idx="150">
                  <c:v>1.41E-2</c:v>
                </c:pt>
                <c:pt idx="151">
                  <c:v>1.4E-2</c:v>
                </c:pt>
                <c:pt idx="152">
                  <c:v>1.4E-2</c:v>
                </c:pt>
                <c:pt idx="153">
                  <c:v>1.3899999999999999E-2</c:v>
                </c:pt>
                <c:pt idx="154">
                  <c:v>1.3899999999999999E-2</c:v>
                </c:pt>
                <c:pt idx="155">
                  <c:v>1.3899999999999999E-2</c:v>
                </c:pt>
                <c:pt idx="156">
                  <c:v>1.38E-2</c:v>
                </c:pt>
                <c:pt idx="157">
                  <c:v>1.38E-2</c:v>
                </c:pt>
                <c:pt idx="158">
                  <c:v>1.37E-2</c:v>
                </c:pt>
                <c:pt idx="159">
                  <c:v>1.37E-2</c:v>
                </c:pt>
                <c:pt idx="160">
                  <c:v>1.37E-2</c:v>
                </c:pt>
                <c:pt idx="161">
                  <c:v>1.3599999999999999E-2</c:v>
                </c:pt>
                <c:pt idx="162">
                  <c:v>1.3599999999999999E-2</c:v>
                </c:pt>
                <c:pt idx="163">
                  <c:v>1.35E-2</c:v>
                </c:pt>
                <c:pt idx="164">
                  <c:v>1.35E-2</c:v>
                </c:pt>
                <c:pt idx="165">
                  <c:v>1.34E-2</c:v>
                </c:pt>
                <c:pt idx="166">
                  <c:v>1.34E-2</c:v>
                </c:pt>
                <c:pt idx="167">
                  <c:v>1.34E-2</c:v>
                </c:pt>
                <c:pt idx="168">
                  <c:v>1.3299999999999999E-2</c:v>
                </c:pt>
                <c:pt idx="169">
                  <c:v>1.32E-2</c:v>
                </c:pt>
                <c:pt idx="170">
                  <c:v>1.3100000000000001E-2</c:v>
                </c:pt>
                <c:pt idx="171">
                  <c:v>1.3100000000000001E-2</c:v>
                </c:pt>
                <c:pt idx="172">
                  <c:v>1.3100000000000001E-2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1.29E-2</c:v>
                </c:pt>
                <c:pt idx="176">
                  <c:v>1.29E-2</c:v>
                </c:pt>
                <c:pt idx="177">
                  <c:v>1.2800000000000001E-2</c:v>
                </c:pt>
                <c:pt idx="178">
                  <c:v>1.2800000000000001E-2</c:v>
                </c:pt>
                <c:pt idx="179">
                  <c:v>1.2699999999999999E-2</c:v>
                </c:pt>
                <c:pt idx="180">
                  <c:v>1.2699999999999999E-2</c:v>
                </c:pt>
                <c:pt idx="181">
                  <c:v>1.2699999999999999E-2</c:v>
                </c:pt>
                <c:pt idx="182">
                  <c:v>1.26E-2</c:v>
                </c:pt>
                <c:pt idx="183">
                  <c:v>1.24E-2</c:v>
                </c:pt>
                <c:pt idx="184">
                  <c:v>1.24E-2</c:v>
                </c:pt>
                <c:pt idx="185">
                  <c:v>1.24E-2</c:v>
                </c:pt>
                <c:pt idx="186">
                  <c:v>1.24E-2</c:v>
                </c:pt>
                <c:pt idx="187">
                  <c:v>1.23E-2</c:v>
                </c:pt>
                <c:pt idx="188">
                  <c:v>1.23E-2</c:v>
                </c:pt>
                <c:pt idx="189">
                  <c:v>1.2200000000000001E-2</c:v>
                </c:pt>
                <c:pt idx="190">
                  <c:v>1.21E-2</c:v>
                </c:pt>
                <c:pt idx="191">
                  <c:v>1.21E-2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1.18E-2</c:v>
                </c:pt>
                <c:pt idx="197">
                  <c:v>1.18E-2</c:v>
                </c:pt>
                <c:pt idx="198">
                  <c:v>1.18E-2</c:v>
                </c:pt>
                <c:pt idx="199">
                  <c:v>1.17E-2</c:v>
                </c:pt>
                <c:pt idx="200">
                  <c:v>1.17E-2</c:v>
                </c:pt>
                <c:pt idx="201">
                  <c:v>1.17E-2</c:v>
                </c:pt>
                <c:pt idx="202">
                  <c:v>1.1599999999999999E-2</c:v>
                </c:pt>
                <c:pt idx="203">
                  <c:v>1.15E-2</c:v>
                </c:pt>
                <c:pt idx="204">
                  <c:v>1.15E-2</c:v>
                </c:pt>
                <c:pt idx="205">
                  <c:v>1.14E-2</c:v>
                </c:pt>
                <c:pt idx="206">
                  <c:v>1.1299999999999999E-2</c:v>
                </c:pt>
                <c:pt idx="207">
                  <c:v>1.1299999999999999E-2</c:v>
                </c:pt>
                <c:pt idx="208">
                  <c:v>1.1299999999999999E-2</c:v>
                </c:pt>
                <c:pt idx="209">
                  <c:v>1.1299999999999999E-2</c:v>
                </c:pt>
                <c:pt idx="210">
                  <c:v>1.11E-2</c:v>
                </c:pt>
                <c:pt idx="211">
                  <c:v>1.11E-2</c:v>
                </c:pt>
                <c:pt idx="212">
                  <c:v>1.11E-2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1.0800000000000001E-2</c:v>
                </c:pt>
                <c:pt idx="216">
                  <c:v>1.0800000000000001E-2</c:v>
                </c:pt>
                <c:pt idx="217">
                  <c:v>1.0800000000000001E-2</c:v>
                </c:pt>
                <c:pt idx="218">
                  <c:v>1.0699999999999999E-2</c:v>
                </c:pt>
                <c:pt idx="219">
                  <c:v>1.0699999999999999E-2</c:v>
                </c:pt>
                <c:pt idx="220">
                  <c:v>1.06E-2</c:v>
                </c:pt>
                <c:pt idx="221">
                  <c:v>1.0500000000000001E-2</c:v>
                </c:pt>
                <c:pt idx="222">
                  <c:v>1.0500000000000001E-2</c:v>
                </c:pt>
                <c:pt idx="223">
                  <c:v>1.0500000000000001E-2</c:v>
                </c:pt>
                <c:pt idx="224">
                  <c:v>1.04E-2</c:v>
                </c:pt>
                <c:pt idx="225">
                  <c:v>1.04E-2</c:v>
                </c:pt>
                <c:pt idx="226">
                  <c:v>1.04E-2</c:v>
                </c:pt>
                <c:pt idx="227">
                  <c:v>1.03E-2</c:v>
                </c:pt>
                <c:pt idx="228">
                  <c:v>1.01E-2</c:v>
                </c:pt>
                <c:pt idx="229">
                  <c:v>1.01E-2</c:v>
                </c:pt>
                <c:pt idx="230">
                  <c:v>1.01E-2</c:v>
                </c:pt>
                <c:pt idx="231">
                  <c:v>0.01</c:v>
                </c:pt>
                <c:pt idx="232">
                  <c:v>9.9000000000000008E-3</c:v>
                </c:pt>
                <c:pt idx="233">
                  <c:v>9.9000000000000008E-3</c:v>
                </c:pt>
                <c:pt idx="234">
                  <c:v>9.9000000000000008E-3</c:v>
                </c:pt>
                <c:pt idx="235">
                  <c:v>9.7000000000000003E-3</c:v>
                </c:pt>
                <c:pt idx="236">
                  <c:v>9.7000000000000003E-3</c:v>
                </c:pt>
                <c:pt idx="237">
                  <c:v>9.5999999999999992E-3</c:v>
                </c:pt>
                <c:pt idx="238">
                  <c:v>9.5999999999999992E-3</c:v>
                </c:pt>
                <c:pt idx="239">
                  <c:v>9.4000000000000004E-3</c:v>
                </c:pt>
                <c:pt idx="240">
                  <c:v>9.2999999999999992E-3</c:v>
                </c:pt>
                <c:pt idx="241">
                  <c:v>9.2999999999999992E-3</c:v>
                </c:pt>
                <c:pt idx="242">
                  <c:v>9.1999999999999998E-3</c:v>
                </c:pt>
                <c:pt idx="243">
                  <c:v>9.1000000000000004E-3</c:v>
                </c:pt>
                <c:pt idx="244">
                  <c:v>9.1000000000000004E-3</c:v>
                </c:pt>
                <c:pt idx="245">
                  <c:v>8.9999999999999993E-3</c:v>
                </c:pt>
                <c:pt idx="246">
                  <c:v>8.8999999999999999E-3</c:v>
                </c:pt>
                <c:pt idx="247">
                  <c:v>8.8000000000000005E-3</c:v>
                </c:pt>
                <c:pt idx="248">
                  <c:v>8.6999999999999994E-3</c:v>
                </c:pt>
                <c:pt idx="249">
                  <c:v>8.6E-3</c:v>
                </c:pt>
                <c:pt idx="250">
                  <c:v>8.3999999999999995E-3</c:v>
                </c:pt>
                <c:pt idx="251">
                  <c:v>8.0999999999999996E-3</c:v>
                </c:pt>
                <c:pt idx="252">
                  <c:v>7.9000000000000008E-3</c:v>
                </c:pt>
                <c:pt idx="253">
                  <c:v>7.7000000000000002E-3</c:v>
                </c:pt>
                <c:pt idx="254">
                  <c:v>7.1999999999999998E-3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D4-459D-9AEA-1ADA39F6F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703359"/>
        <c:axId val="1220536159"/>
      </c:scatterChart>
      <c:valAx>
        <c:axId val="746703359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Management practices 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20536159"/>
        <c:crosses val="autoZero"/>
        <c:crossBetween val="midCat"/>
      </c:valAx>
      <c:valAx>
        <c:axId val="122053615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467033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211759473583131"/>
          <c:w val="0.99405125793557492"/>
          <c:h val="7.22084643142328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D2a-D5-suppliers'!$AP$11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D2a-D5-suppliers'!$AO$12,'Figure D2a-D5-suppliers'!$AO$15)</c:f>
              <c:strCache>
                <c:ptCount val="2"/>
                <c:pt idx="0">
                  <c:v>Domestic owned</c:v>
                </c:pt>
                <c:pt idx="1">
                  <c:v>Foreign owned</c:v>
                </c:pt>
              </c:strCache>
            </c:strRef>
          </c:cat>
          <c:val>
            <c:numRef>
              <c:f>('Figure D2a-D5-suppliers'!$AP$12,'Figure D2a-D5-suppliers'!$AP$15)</c:f>
              <c:numCache>
                <c:formatCode>0.00</c:formatCode>
                <c:ptCount val="2"/>
                <c:pt idx="0">
                  <c:v>0.66800000000000004</c:v>
                </c:pt>
                <c:pt idx="1">
                  <c:v>0.49859999999999999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F-4601-B7BA-2EAE8BD7CBBE}"/>
            </c:ext>
          </c:extLst>
        </c:ser>
        <c:ser>
          <c:idx val="1"/>
          <c:order val="1"/>
          <c:tx>
            <c:strRef>
              <c:f>'Figure D2a-D5-suppliers'!$AQ$11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D2a-D5-suppliers'!$AO$12,'Figure D2a-D5-suppliers'!$AO$15)</c:f>
              <c:strCache>
                <c:ptCount val="2"/>
                <c:pt idx="0">
                  <c:v>Domestic owned</c:v>
                </c:pt>
                <c:pt idx="1">
                  <c:v>Foreign owned</c:v>
                </c:pt>
              </c:strCache>
            </c:strRef>
          </c:cat>
          <c:val>
            <c:numRef>
              <c:f>('Figure D2a-D5-suppliers'!$AQ$12,'Figure D2a-D5-suppliers'!$AQ$15)</c:f>
              <c:numCache>
                <c:formatCode>0.00</c:formatCode>
                <c:ptCount val="2"/>
                <c:pt idx="0">
                  <c:v>0.16270000000000001</c:v>
                </c:pt>
                <c:pt idx="1">
                  <c:v>0.21540000000000001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F-4601-B7BA-2EAE8BD7CBBE}"/>
            </c:ext>
          </c:extLst>
        </c:ser>
        <c:ser>
          <c:idx val="2"/>
          <c:order val="2"/>
          <c:tx>
            <c:strRef>
              <c:f>'Figure D2a-D5-suppliers'!$AR$11</c:f>
              <c:strCache>
                <c:ptCount val="1"/>
                <c:pt idx="0">
                  <c:v>BL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D2a-D5-suppliers'!$AO$12,'Figure D2a-D5-suppliers'!$AO$15)</c:f>
              <c:strCache>
                <c:ptCount val="2"/>
                <c:pt idx="0">
                  <c:v>Domestic owned</c:v>
                </c:pt>
                <c:pt idx="1">
                  <c:v>Foreign owned</c:v>
                </c:pt>
              </c:strCache>
            </c:strRef>
          </c:cat>
          <c:val>
            <c:numRef>
              <c:f>('Figure D2a-D5-suppliers'!$AR$12,'Figure D2a-D5-suppliers'!$AR$15)</c:f>
              <c:numCache>
                <c:formatCode>0.00</c:formatCode>
                <c:ptCount val="2"/>
                <c:pt idx="0">
                  <c:v>0.15310000000000001</c:v>
                </c:pt>
                <c:pt idx="1">
                  <c:v>0.26519999999999999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F-4601-B7BA-2EAE8BD7CBBE}"/>
            </c:ext>
          </c:extLst>
        </c:ser>
        <c:ser>
          <c:idx val="3"/>
          <c:order val="3"/>
          <c:tx>
            <c:strRef>
              <c:f>'Figure D2a-D5-suppliers'!$AS$11</c:f>
              <c:strCache>
                <c:ptCount val="1"/>
                <c:pt idx="0">
                  <c:v>SC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4.6296296296296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88-4031-B682-9004FFD9C5E1}"/>
                </c:ext>
              </c:extLst>
            </c:dLbl>
            <c:dLbl>
              <c:idx val="1"/>
              <c:layout>
                <c:manualLayout>
                  <c:x val="0"/>
                  <c:y val="9.25925925925925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88-4031-B682-9004FFD9C5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D2a-D5-suppliers'!$AO$12,'Figure D2a-D5-suppliers'!$AO$15)</c:f>
              <c:strCache>
                <c:ptCount val="2"/>
                <c:pt idx="0">
                  <c:v>Domestic owned</c:v>
                </c:pt>
                <c:pt idx="1">
                  <c:v>Foreign owned</c:v>
                </c:pt>
              </c:strCache>
            </c:strRef>
          </c:cat>
          <c:val>
            <c:numRef>
              <c:f>('Figure D2a-D5-suppliers'!$AS$12,'Figure D2a-D5-suppliers'!$AS$15)</c:f>
              <c:numCache>
                <c:formatCode>0.00</c:formatCode>
                <c:ptCount val="2"/>
                <c:pt idx="0">
                  <c:v>1.6199999999999999E-2</c:v>
                </c:pt>
                <c:pt idx="1">
                  <c:v>2.0799999999999999E-2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6F-4601-B7BA-2EAE8BD7C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D2a-D5-suppliers'!$AX$11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D2a-D5-suppliers'!$AW$12,'Figure D2a-D5-suppliers'!$AW$15)</c:f>
              <c:strCache>
                <c:ptCount val="2"/>
                <c:pt idx="0">
                  <c:v>Non exporter</c:v>
                </c:pt>
                <c:pt idx="1">
                  <c:v>Exporter</c:v>
                </c:pt>
              </c:strCache>
            </c:strRef>
          </c:cat>
          <c:val>
            <c:numRef>
              <c:f>('Figure D2a-D5-suppliers'!$AX$12,'Figure D2a-D5-suppliers'!$AX$15)</c:f>
              <c:numCache>
                <c:formatCode>0.00</c:formatCode>
                <c:ptCount val="2"/>
                <c:pt idx="0">
                  <c:v>0.66890000000000005</c:v>
                </c:pt>
                <c:pt idx="1">
                  <c:v>0.49440000000000001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73-4CE2-BC9A-155C5A3AA5B1}"/>
            </c:ext>
          </c:extLst>
        </c:ser>
        <c:ser>
          <c:idx val="1"/>
          <c:order val="1"/>
          <c:tx>
            <c:strRef>
              <c:f>'Figure D2a-D5-suppliers'!$AY$11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D2a-D5-suppliers'!$AW$12,'Figure D2a-D5-suppliers'!$AW$15)</c:f>
              <c:strCache>
                <c:ptCount val="2"/>
                <c:pt idx="0">
                  <c:v>Non exporter</c:v>
                </c:pt>
                <c:pt idx="1">
                  <c:v>Exporter</c:v>
                </c:pt>
              </c:strCache>
            </c:strRef>
          </c:cat>
          <c:val>
            <c:numRef>
              <c:f>('Figure D2a-D5-suppliers'!$AY$12,'Figure D2a-D5-suppliers'!$AY$15)</c:f>
              <c:numCache>
                <c:formatCode>0.00</c:formatCode>
                <c:ptCount val="2"/>
                <c:pt idx="0">
                  <c:v>0.15840000000000001</c:v>
                </c:pt>
                <c:pt idx="1">
                  <c:v>0.26219999999999999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73-4CE2-BC9A-155C5A3AA5B1}"/>
            </c:ext>
          </c:extLst>
        </c:ser>
        <c:ser>
          <c:idx val="2"/>
          <c:order val="2"/>
          <c:tx>
            <c:strRef>
              <c:f>'Figure D2a-D5-suppliers'!$AZ$11</c:f>
              <c:strCache>
                <c:ptCount val="1"/>
                <c:pt idx="0">
                  <c:v>BL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D2a-D5-suppliers'!$AW$12,'Figure D2a-D5-suppliers'!$AW$15)</c:f>
              <c:strCache>
                <c:ptCount val="2"/>
                <c:pt idx="0">
                  <c:v>Non exporter</c:v>
                </c:pt>
                <c:pt idx="1">
                  <c:v>Exporter</c:v>
                </c:pt>
              </c:strCache>
            </c:strRef>
          </c:cat>
          <c:val>
            <c:numRef>
              <c:f>('Figure D2a-D5-suppliers'!$AZ$12,'Figure D2a-D5-suppliers'!$AZ$15)</c:f>
              <c:numCache>
                <c:formatCode>0.00</c:formatCode>
                <c:ptCount val="2"/>
                <c:pt idx="0">
                  <c:v>0.1583</c:v>
                </c:pt>
                <c:pt idx="1">
                  <c:v>0.1956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73-4CE2-BC9A-155C5A3AA5B1}"/>
            </c:ext>
          </c:extLst>
        </c:ser>
        <c:ser>
          <c:idx val="3"/>
          <c:order val="3"/>
          <c:tx>
            <c:strRef>
              <c:f>'Figure D2a-D5-suppliers'!$BA$11</c:f>
              <c:strCache>
                <c:ptCount val="1"/>
                <c:pt idx="0">
                  <c:v>SC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5281474279231237E-3"/>
                  <c:y val="1.11576011157601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8C-42E0-840C-78AB4F575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D2a-D5-suppliers'!$AW$12,'Figure D2a-D5-suppliers'!$AW$15)</c:f>
              <c:strCache>
                <c:ptCount val="2"/>
                <c:pt idx="0">
                  <c:v>Non exporter</c:v>
                </c:pt>
                <c:pt idx="1">
                  <c:v>Exporter</c:v>
                </c:pt>
              </c:strCache>
            </c:strRef>
          </c:cat>
          <c:val>
            <c:numRef>
              <c:f>('Figure D2a-D5-suppliers'!$BA$12,'Figure D2a-D5-suppliers'!$BA$15)</c:f>
              <c:numCache>
                <c:formatCode>0.00</c:formatCode>
                <c:ptCount val="2"/>
                <c:pt idx="0">
                  <c:v>1.44E-2</c:v>
                </c:pt>
                <c:pt idx="1">
                  <c:v>4.7800000000000002E-2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73-4CE2-BC9A-155C5A3AA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D1a and D6-suppliers'!$B$15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D6-suppliers'!$A$16,'Figure D1a and D6-suppliers'!$A$19,'Figure D1a and D6-suppliers'!$A$22,'Figure D1a and D6-suppliers'!$A$25)</c:f>
              <c:strCache>
                <c:ptCount val="4"/>
                <c:pt idx="0">
                  <c:v>Strongly disagree</c:v>
                </c:pt>
                <c:pt idx="1">
                  <c:v>Tend to disagree</c:v>
                </c:pt>
                <c:pt idx="2">
                  <c:v>Tend to agree</c:v>
                </c:pt>
                <c:pt idx="3">
                  <c:v>Strongly agree</c:v>
                </c:pt>
              </c:strCache>
            </c:strRef>
          </c:cat>
          <c:val>
            <c:numRef>
              <c:f>('Figure D1a and D6-suppliers'!$B$16,'Figure D1a and D6-suppliers'!$B$19,'Figure D1a and D6-suppliers'!$B$22,'Figure D1a and D6-suppliers'!$B$25)</c:f>
              <c:numCache>
                <c:formatCode>0.00</c:formatCode>
                <c:ptCount val="4"/>
                <c:pt idx="0">
                  <c:v>0.71809999999999996</c:v>
                </c:pt>
                <c:pt idx="1">
                  <c:v>0.60389999999999999</c:v>
                </c:pt>
                <c:pt idx="2">
                  <c:v>0.50080000000000002</c:v>
                </c:pt>
                <c:pt idx="3">
                  <c:v>0.57199999999999995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48-4226-8F26-3F27C30D3ECD}"/>
            </c:ext>
          </c:extLst>
        </c:ser>
        <c:ser>
          <c:idx val="1"/>
          <c:order val="1"/>
          <c:tx>
            <c:strRef>
              <c:f>'Figure D1a and D6-suppliers'!$C$15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D6-suppliers'!$A$16,'Figure D1a and D6-suppliers'!$A$19,'Figure D1a and D6-suppliers'!$A$22,'Figure D1a and D6-suppliers'!$A$25)</c:f>
              <c:strCache>
                <c:ptCount val="4"/>
                <c:pt idx="0">
                  <c:v>Strongly disagree</c:v>
                </c:pt>
                <c:pt idx="1">
                  <c:v>Tend to disagree</c:v>
                </c:pt>
                <c:pt idx="2">
                  <c:v>Tend to agree</c:v>
                </c:pt>
                <c:pt idx="3">
                  <c:v>Strongly agree</c:v>
                </c:pt>
              </c:strCache>
            </c:strRef>
          </c:cat>
          <c:val>
            <c:numRef>
              <c:f>('Figure D1a and D6-suppliers'!$C$16,'Figure D1a and D6-suppliers'!$C$19,'Figure D1a and D6-suppliers'!$C$22,'Figure D1a and D6-suppliers'!$C$25)</c:f>
              <c:numCache>
                <c:formatCode>0.00</c:formatCode>
                <c:ptCount val="4"/>
                <c:pt idx="0">
                  <c:v>0.13980000000000001</c:v>
                </c:pt>
                <c:pt idx="1">
                  <c:v>0.21149999999999999</c:v>
                </c:pt>
                <c:pt idx="2">
                  <c:v>0.19359999999999999</c:v>
                </c:pt>
                <c:pt idx="3">
                  <c:v>0.1085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48-4226-8F26-3F27C30D3ECD}"/>
            </c:ext>
          </c:extLst>
        </c:ser>
        <c:ser>
          <c:idx val="2"/>
          <c:order val="2"/>
          <c:tx>
            <c:strRef>
              <c:f>'Figure D1a and D6-suppliers'!$D$15</c:f>
              <c:strCache>
                <c:ptCount val="1"/>
                <c:pt idx="0">
                  <c:v>BL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D6-suppliers'!$A$16,'Figure D1a and D6-suppliers'!$A$19,'Figure D1a and D6-suppliers'!$A$22,'Figure D1a and D6-suppliers'!$A$25)</c:f>
              <c:strCache>
                <c:ptCount val="4"/>
                <c:pt idx="0">
                  <c:v>Strongly disagree</c:v>
                </c:pt>
                <c:pt idx="1">
                  <c:v>Tend to disagree</c:v>
                </c:pt>
                <c:pt idx="2">
                  <c:v>Tend to agree</c:v>
                </c:pt>
                <c:pt idx="3">
                  <c:v>Strongly agree</c:v>
                </c:pt>
              </c:strCache>
            </c:strRef>
          </c:cat>
          <c:val>
            <c:numRef>
              <c:f>('Figure D1a and D6-suppliers'!$D$16,'Figure D1a and D6-suppliers'!$D$19,'Figure D1a and D6-suppliers'!$D$22,'Figure D1a and D6-suppliers'!$D$25)</c:f>
              <c:numCache>
                <c:formatCode>0.00</c:formatCode>
                <c:ptCount val="4"/>
                <c:pt idx="0">
                  <c:v>0.1283</c:v>
                </c:pt>
                <c:pt idx="1">
                  <c:v>0.16769999999999999</c:v>
                </c:pt>
                <c:pt idx="2">
                  <c:v>0.27900000000000003</c:v>
                </c:pt>
                <c:pt idx="3">
                  <c:v>0.3135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48-4226-8F26-3F27C30D3ECD}"/>
            </c:ext>
          </c:extLst>
        </c:ser>
        <c:ser>
          <c:idx val="3"/>
          <c:order val="3"/>
          <c:tx>
            <c:strRef>
              <c:f>'Figure D1a and D6-suppliers'!$E$15</c:f>
              <c:strCache>
                <c:ptCount val="1"/>
                <c:pt idx="0">
                  <c:v>SC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38888888888888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AE-437F-B5F3-62A9D760D7EF}"/>
                </c:ext>
              </c:extLst>
            </c:dLbl>
            <c:dLbl>
              <c:idx val="1"/>
              <c:layout>
                <c:manualLayout>
                  <c:x val="-5.0925337632079971E-17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AE-437F-B5F3-62A9D760D7EF}"/>
                </c:ext>
              </c:extLst>
            </c:dLbl>
            <c:dLbl>
              <c:idx val="2"/>
              <c:layout>
                <c:manualLayout>
                  <c:x val="-1.0185067526415994E-16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AE-437F-B5F3-62A9D760D7EF}"/>
                </c:ext>
              </c:extLst>
            </c:dLbl>
            <c:dLbl>
              <c:idx val="3"/>
              <c:layout>
                <c:manualLayout>
                  <c:x val="-1.0185067526415994E-16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AE-437F-B5F3-62A9D760D7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D6-suppliers'!$A$16,'Figure D1a and D6-suppliers'!$A$19,'Figure D1a and D6-suppliers'!$A$22,'Figure D1a and D6-suppliers'!$A$25)</c:f>
              <c:strCache>
                <c:ptCount val="4"/>
                <c:pt idx="0">
                  <c:v>Strongly disagree</c:v>
                </c:pt>
                <c:pt idx="1">
                  <c:v>Tend to disagree</c:v>
                </c:pt>
                <c:pt idx="2">
                  <c:v>Tend to agree</c:v>
                </c:pt>
                <c:pt idx="3">
                  <c:v>Strongly agree</c:v>
                </c:pt>
              </c:strCache>
            </c:strRef>
          </c:cat>
          <c:val>
            <c:numRef>
              <c:f>('Figure D1a and D6-suppliers'!$E$16,'Figure D1a and D6-suppliers'!$E$19,'Figure D1a and D6-suppliers'!$E$22,'Figure D1a and D6-suppliers'!$E$25)</c:f>
              <c:numCache>
                <c:formatCode>0.00</c:formatCode>
                <c:ptCount val="4"/>
                <c:pt idx="0">
                  <c:v>1.3899999999999999E-2</c:v>
                </c:pt>
                <c:pt idx="1">
                  <c:v>1.6899999999999998E-2</c:v>
                </c:pt>
                <c:pt idx="2">
                  <c:v>2.6499999999999999E-2</c:v>
                </c:pt>
                <c:pt idx="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48-4226-8F26-3F27C30D3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D1a and D6-suppliers'!$P$19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D6-suppliers'!$O$20,'Figure D1a and D6-suppliers'!$O$23,'Figure D1a and D6-suppliers'!$O$26,'Figure D1a and D6-suppliers'!$O$29,'Figure D1a and D6-suppliers'!$O$32)</c:f>
              <c:strCache>
                <c:ptCount val="5"/>
                <c:pt idx="0">
                  <c:v>No</c:v>
                </c:pt>
                <c:pt idx="1">
                  <c:v>Minor</c:v>
                </c:pt>
                <c:pt idx="2">
                  <c:v>Moderate</c:v>
                </c:pt>
                <c:pt idx="3">
                  <c:v>Major</c:v>
                </c:pt>
                <c:pt idx="4">
                  <c:v>Very severe</c:v>
                </c:pt>
              </c:strCache>
            </c:strRef>
          </c:cat>
          <c:val>
            <c:numRef>
              <c:f>('Figure D1a and D6-suppliers'!$P$20,'Figure D1a and D6-suppliers'!$P$23,'Figure D1a and D6-suppliers'!$P$26,'Figure D1a and D6-suppliers'!$P$29,'Figure D1a and D6-suppliers'!$P$32)</c:f>
              <c:numCache>
                <c:formatCode>0.00</c:formatCode>
                <c:ptCount val="5"/>
                <c:pt idx="0">
                  <c:v>0.77300000000000002</c:v>
                </c:pt>
                <c:pt idx="1">
                  <c:v>0.61099999999999999</c:v>
                </c:pt>
                <c:pt idx="2">
                  <c:v>0.60399999999999998</c:v>
                </c:pt>
                <c:pt idx="3">
                  <c:v>0.58989999999999998</c:v>
                </c:pt>
                <c:pt idx="4">
                  <c:v>0.59719999999999995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3-4911-865B-A53BFC2418C9}"/>
            </c:ext>
          </c:extLst>
        </c:ser>
        <c:ser>
          <c:idx val="1"/>
          <c:order val="1"/>
          <c:tx>
            <c:strRef>
              <c:f>'Figure D1a and D6-suppliers'!$Q$19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D6-suppliers'!$O$20,'Figure D1a and D6-suppliers'!$O$23,'Figure D1a and D6-suppliers'!$O$26,'Figure D1a and D6-suppliers'!$O$29,'Figure D1a and D6-suppliers'!$O$32)</c:f>
              <c:strCache>
                <c:ptCount val="5"/>
                <c:pt idx="0">
                  <c:v>No</c:v>
                </c:pt>
                <c:pt idx="1">
                  <c:v>Minor</c:v>
                </c:pt>
                <c:pt idx="2">
                  <c:v>Moderate</c:v>
                </c:pt>
                <c:pt idx="3">
                  <c:v>Major</c:v>
                </c:pt>
                <c:pt idx="4">
                  <c:v>Very severe</c:v>
                </c:pt>
              </c:strCache>
            </c:strRef>
          </c:cat>
          <c:val>
            <c:numRef>
              <c:f>('Figure D1a and D6-suppliers'!$Q$20,'Figure D1a and D6-suppliers'!$Q$23,'Figure D1a and D6-suppliers'!$Q$26,'Figure D1a and D6-suppliers'!$Q$29,'Figure D1a and D6-suppliers'!$Q$32)</c:f>
              <c:numCache>
                <c:formatCode>0.00</c:formatCode>
                <c:ptCount val="5"/>
                <c:pt idx="0">
                  <c:v>0.11600000000000001</c:v>
                </c:pt>
                <c:pt idx="1">
                  <c:v>0.16309999999999999</c:v>
                </c:pt>
                <c:pt idx="2">
                  <c:v>0.19040000000000001</c:v>
                </c:pt>
                <c:pt idx="3">
                  <c:v>0.24129999999999999</c:v>
                </c:pt>
                <c:pt idx="4">
                  <c:v>0.15820000000000001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D3-4911-865B-A53BFC2418C9}"/>
            </c:ext>
          </c:extLst>
        </c:ser>
        <c:ser>
          <c:idx val="2"/>
          <c:order val="2"/>
          <c:tx>
            <c:strRef>
              <c:f>'Figure D1a and D6-suppliers'!$R$19</c:f>
              <c:strCache>
                <c:ptCount val="1"/>
                <c:pt idx="0">
                  <c:v>BL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D6-suppliers'!$O$20,'Figure D1a and D6-suppliers'!$O$23,'Figure D1a and D6-suppliers'!$O$26,'Figure D1a and D6-suppliers'!$O$29,'Figure D1a and D6-suppliers'!$O$32)</c:f>
              <c:strCache>
                <c:ptCount val="5"/>
                <c:pt idx="0">
                  <c:v>No</c:v>
                </c:pt>
                <c:pt idx="1">
                  <c:v>Minor</c:v>
                </c:pt>
                <c:pt idx="2">
                  <c:v>Moderate</c:v>
                </c:pt>
                <c:pt idx="3">
                  <c:v>Major</c:v>
                </c:pt>
                <c:pt idx="4">
                  <c:v>Very severe</c:v>
                </c:pt>
              </c:strCache>
            </c:strRef>
          </c:cat>
          <c:val>
            <c:numRef>
              <c:f>('Figure D1a and D6-suppliers'!$R$20,'Figure D1a and D6-suppliers'!$R$23,'Figure D1a and D6-suppliers'!$R$26,'Figure D1a and D6-suppliers'!$R$29,'Figure D1a and D6-suppliers'!$R$32)</c:f>
              <c:numCache>
                <c:formatCode>0.00</c:formatCode>
                <c:ptCount val="5"/>
                <c:pt idx="0">
                  <c:v>9.8400000000000001E-2</c:v>
                </c:pt>
                <c:pt idx="1">
                  <c:v>0.19370000000000001</c:v>
                </c:pt>
                <c:pt idx="2">
                  <c:v>0.19439999999999999</c:v>
                </c:pt>
                <c:pt idx="3">
                  <c:v>0.159</c:v>
                </c:pt>
                <c:pt idx="4">
                  <c:v>0.21759999999999999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D3-4911-865B-A53BFC2418C9}"/>
            </c:ext>
          </c:extLst>
        </c:ser>
        <c:ser>
          <c:idx val="3"/>
          <c:order val="3"/>
          <c:tx>
            <c:strRef>
              <c:f>'Figure D1a and D6-suppliers'!$S$19</c:f>
              <c:strCache>
                <c:ptCount val="1"/>
                <c:pt idx="0">
                  <c:v>SC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3.0895048108440834E-17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2A-4F04-8DB5-4103C39EA88C}"/>
                </c:ext>
              </c:extLst>
            </c:dLbl>
            <c:dLbl>
              <c:idx val="2"/>
              <c:layout>
                <c:manualLayout>
                  <c:x val="-6.1790096216881668E-17"/>
                  <c:y val="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2A-4F04-8DB5-4103C39EA88C}"/>
                </c:ext>
              </c:extLst>
            </c:dLbl>
            <c:dLbl>
              <c:idx val="3"/>
              <c:layout>
                <c:manualLayout>
                  <c:x val="-1.2358019243376334E-16"/>
                  <c:y val="1.38888888888888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02A-4F04-8DB5-4103C39EA8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D6-suppliers'!$O$20,'Figure D1a and D6-suppliers'!$O$23,'Figure D1a and D6-suppliers'!$O$26,'Figure D1a and D6-suppliers'!$O$29,'Figure D1a and D6-suppliers'!$O$32)</c:f>
              <c:strCache>
                <c:ptCount val="5"/>
                <c:pt idx="0">
                  <c:v>No</c:v>
                </c:pt>
                <c:pt idx="1">
                  <c:v>Minor</c:v>
                </c:pt>
                <c:pt idx="2">
                  <c:v>Moderate</c:v>
                </c:pt>
                <c:pt idx="3">
                  <c:v>Major</c:v>
                </c:pt>
                <c:pt idx="4">
                  <c:v>Very severe</c:v>
                </c:pt>
              </c:strCache>
            </c:strRef>
          </c:cat>
          <c:val>
            <c:numRef>
              <c:f>('Figure D1a and D6-suppliers'!$S$20,'Figure D1a and D6-suppliers'!$S$23,'Figure D1a and D6-suppliers'!$S$26,'Figure D1a and D6-suppliers'!$S$29,'Figure D1a and D6-suppliers'!$S$32)</c:f>
              <c:numCache>
                <c:formatCode>0.00</c:formatCode>
                <c:ptCount val="5"/>
                <c:pt idx="0">
                  <c:v>1.2500000000000001E-2</c:v>
                </c:pt>
                <c:pt idx="1">
                  <c:v>3.2199999999999999E-2</c:v>
                </c:pt>
                <c:pt idx="2">
                  <c:v>1.12E-2</c:v>
                </c:pt>
                <c:pt idx="3">
                  <c:v>9.7999999999999997E-3</c:v>
                </c:pt>
                <c:pt idx="4">
                  <c:v>2.7099999999999999E-2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D3-4911-865B-A53BFC241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D1a and D6-suppliers'!$AB$15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D6-suppliers'!$AA$16,'Figure D1a and D6-suppliers'!$AA$19,'Figure D1a and D6-suppliers'!$AA$22,'Figure D1a and D6-suppliers'!$AA$25)</c:f>
              <c:strCache>
                <c:ptCount val="4"/>
                <c:pt idx="0">
                  <c:v>Small (5-19)</c:v>
                </c:pt>
                <c:pt idx="1">
                  <c:v>Medium (20-99)</c:v>
                </c:pt>
                <c:pt idx="2">
                  <c:v>Large (100-399)</c:v>
                </c:pt>
                <c:pt idx="3">
                  <c:v>Very large (400+)</c:v>
                </c:pt>
              </c:strCache>
            </c:strRef>
          </c:cat>
          <c:val>
            <c:numRef>
              <c:f>('Figure D1a and D6-suppliers'!$AB$16,'Figure D1a and D6-suppliers'!$AB$19,'Figure D1a and D6-suppliers'!$AB$22,'Figure D1a and D6-suppliers'!$AB$25)</c:f>
              <c:numCache>
                <c:formatCode>0.00</c:formatCode>
                <c:ptCount val="4"/>
                <c:pt idx="0">
                  <c:v>0.67179999999999995</c:v>
                </c:pt>
                <c:pt idx="1">
                  <c:v>0.65920000000000001</c:v>
                </c:pt>
                <c:pt idx="2">
                  <c:v>0.59419999999999995</c:v>
                </c:pt>
                <c:pt idx="3">
                  <c:v>0.39040000000000002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0-4DC0-8156-708E6685BED9}"/>
            </c:ext>
          </c:extLst>
        </c:ser>
        <c:ser>
          <c:idx val="1"/>
          <c:order val="1"/>
          <c:tx>
            <c:strRef>
              <c:f>'Figure D1a and D6-suppliers'!$AC$15</c:f>
              <c:strCache>
                <c:ptCount val="1"/>
                <c:pt idx="0">
                  <c:v>BP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D6-suppliers'!$AA$16,'Figure D1a and D6-suppliers'!$AA$19,'Figure D1a and D6-suppliers'!$AA$22,'Figure D1a and D6-suppliers'!$AA$25)</c:f>
              <c:strCache>
                <c:ptCount val="4"/>
                <c:pt idx="0">
                  <c:v>Small (5-19)</c:v>
                </c:pt>
                <c:pt idx="1">
                  <c:v>Medium (20-99)</c:v>
                </c:pt>
                <c:pt idx="2">
                  <c:v>Large (100-399)</c:v>
                </c:pt>
                <c:pt idx="3">
                  <c:v>Very large (400+)</c:v>
                </c:pt>
              </c:strCache>
            </c:strRef>
          </c:cat>
          <c:val>
            <c:numRef>
              <c:f>('Figure D1a and D6-suppliers'!$AC$16,'Figure D1a and D6-suppliers'!$AC$19,'Figure D1a and D6-suppliers'!$AC$22,'Figure D1a and D6-suppliers'!$AC$25)</c:f>
              <c:numCache>
                <c:formatCode>0.00</c:formatCode>
                <c:ptCount val="4"/>
                <c:pt idx="0">
                  <c:v>0.1608</c:v>
                </c:pt>
                <c:pt idx="1">
                  <c:v>0.1694</c:v>
                </c:pt>
                <c:pt idx="2">
                  <c:v>0.17780000000000001</c:v>
                </c:pt>
                <c:pt idx="3">
                  <c:v>0.24610000000000001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0-4DC0-8156-708E6685BED9}"/>
            </c:ext>
          </c:extLst>
        </c:ser>
        <c:ser>
          <c:idx val="2"/>
          <c:order val="2"/>
          <c:tx>
            <c:strRef>
              <c:f>'Figure D1a and D6-suppliers'!$AD$15</c:f>
              <c:strCache>
                <c:ptCount val="1"/>
                <c:pt idx="0">
                  <c:v>BL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D6-suppliers'!$AA$16,'Figure D1a and D6-suppliers'!$AA$19,'Figure D1a and D6-suppliers'!$AA$22,'Figure D1a and D6-suppliers'!$AA$25)</c:f>
              <c:strCache>
                <c:ptCount val="4"/>
                <c:pt idx="0">
                  <c:v>Small (5-19)</c:v>
                </c:pt>
                <c:pt idx="1">
                  <c:v>Medium (20-99)</c:v>
                </c:pt>
                <c:pt idx="2">
                  <c:v>Large (100-399)</c:v>
                </c:pt>
                <c:pt idx="3">
                  <c:v>Very large (400+)</c:v>
                </c:pt>
              </c:strCache>
            </c:strRef>
          </c:cat>
          <c:val>
            <c:numRef>
              <c:f>('Figure D1a and D6-suppliers'!$AD$16,'Figure D1a and D6-suppliers'!$AD$19,'Figure D1a and D6-suppliers'!$AD$22,'Figure D1a and D6-suppliers'!$AD$25)</c:f>
              <c:numCache>
                <c:formatCode>0.00</c:formatCode>
                <c:ptCount val="4"/>
                <c:pt idx="0">
                  <c:v>0.15329999999999999</c:v>
                </c:pt>
                <c:pt idx="1">
                  <c:v>0.15240000000000001</c:v>
                </c:pt>
                <c:pt idx="2">
                  <c:v>0.2026</c:v>
                </c:pt>
                <c:pt idx="3">
                  <c:v>0.34350000000000003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90-4DC0-8156-708E6685BED9}"/>
            </c:ext>
          </c:extLst>
        </c:ser>
        <c:ser>
          <c:idx val="3"/>
          <c:order val="3"/>
          <c:tx>
            <c:strRef>
              <c:f>'Figure D1a and D6-suppliers'!$AE$15</c:f>
              <c:strCache>
                <c:ptCount val="1"/>
                <c:pt idx="0">
                  <c:v>SC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D1a and D6-suppliers'!$AA$16,'Figure D1a and D6-suppliers'!$AA$19,'Figure D1a and D6-suppliers'!$AA$22,'Figure D1a and D6-suppliers'!$AA$25)</c:f>
              <c:strCache>
                <c:ptCount val="4"/>
                <c:pt idx="0">
                  <c:v>Small (5-19)</c:v>
                </c:pt>
                <c:pt idx="1">
                  <c:v>Medium (20-99)</c:v>
                </c:pt>
                <c:pt idx="2">
                  <c:v>Large (100-399)</c:v>
                </c:pt>
                <c:pt idx="3">
                  <c:v>Very large (400+)</c:v>
                </c:pt>
              </c:strCache>
            </c:strRef>
          </c:cat>
          <c:val>
            <c:numRef>
              <c:f>('Figure D1a and D6-suppliers'!$AE$16,'Figure D1a and D6-suppliers'!$AE$19,'Figure D1a and D6-suppliers'!$AE$22,'Figure D1a and D6-suppliers'!$AE$25)</c:f>
              <c:numCache>
                <c:formatCode>0.00</c:formatCode>
                <c:ptCount val="4"/>
                <c:pt idx="0">
                  <c:v>1.41E-2</c:v>
                </c:pt>
                <c:pt idx="1">
                  <c:v>1.9E-2</c:v>
                </c:pt>
                <c:pt idx="2">
                  <c:v>2.53E-2</c:v>
                </c:pt>
                <c:pt idx="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90-4DC0-8156-708E6685B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4260717410323E-2"/>
          <c:y val="8.9980925106901477E-2"/>
          <c:w val="0.89655796150481193"/>
          <c:h val="0.71414707926137255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'Figure D2a-D5-suppliers'!$BI$9</c:f>
              <c:strCache>
                <c:ptCount val="1"/>
                <c:pt idx="0">
                  <c:v>Cluster1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 D2a-D5-suppliers'!$BH$10:$BH$61</c:f>
              <c:numCache>
                <c:formatCode>General</c:formatCode>
                <c:ptCount val="5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34</c:v>
                </c:pt>
                <c:pt idx="23">
                  <c:v>37</c:v>
                </c:pt>
                <c:pt idx="24">
                  <c:v>39</c:v>
                </c:pt>
                <c:pt idx="25">
                  <c:v>40</c:v>
                </c:pt>
                <c:pt idx="26">
                  <c:v>46</c:v>
                </c:pt>
                <c:pt idx="27">
                  <c:v>48</c:v>
                </c:pt>
                <c:pt idx="28">
                  <c:v>49</c:v>
                </c:pt>
                <c:pt idx="29">
                  <c:v>50</c:v>
                </c:pt>
                <c:pt idx="30">
                  <c:v>51</c:v>
                </c:pt>
                <c:pt idx="31">
                  <c:v>57</c:v>
                </c:pt>
                <c:pt idx="32">
                  <c:v>58</c:v>
                </c:pt>
                <c:pt idx="33">
                  <c:v>60</c:v>
                </c:pt>
                <c:pt idx="34">
                  <c:v>65</c:v>
                </c:pt>
                <c:pt idx="35">
                  <c:v>66</c:v>
                </c:pt>
                <c:pt idx="36">
                  <c:v>67</c:v>
                </c:pt>
                <c:pt idx="37">
                  <c:v>68</c:v>
                </c:pt>
                <c:pt idx="38">
                  <c:v>70</c:v>
                </c:pt>
                <c:pt idx="39">
                  <c:v>71</c:v>
                </c:pt>
                <c:pt idx="40">
                  <c:v>73</c:v>
                </c:pt>
                <c:pt idx="41">
                  <c:v>75</c:v>
                </c:pt>
                <c:pt idx="42">
                  <c:v>80</c:v>
                </c:pt>
                <c:pt idx="43">
                  <c:v>82</c:v>
                </c:pt>
                <c:pt idx="44">
                  <c:v>85</c:v>
                </c:pt>
                <c:pt idx="45">
                  <c:v>90</c:v>
                </c:pt>
                <c:pt idx="46">
                  <c:v>94</c:v>
                </c:pt>
                <c:pt idx="47">
                  <c:v>95</c:v>
                </c:pt>
                <c:pt idx="48">
                  <c:v>97</c:v>
                </c:pt>
                <c:pt idx="49">
                  <c:v>98</c:v>
                </c:pt>
                <c:pt idx="50">
                  <c:v>99</c:v>
                </c:pt>
                <c:pt idx="51">
                  <c:v>100</c:v>
                </c:pt>
              </c:numCache>
            </c:numRef>
          </c:xVal>
          <c:yVal>
            <c:numRef>
              <c:f>'Figure D2a-D5-suppliers'!$BI$10:$BI$61</c:f>
              <c:numCache>
                <c:formatCode>General</c:formatCode>
                <c:ptCount val="52"/>
                <c:pt idx="0">
                  <c:v>0.45929999999999999</c:v>
                </c:pt>
                <c:pt idx="1">
                  <c:v>0.4617</c:v>
                </c:pt>
                <c:pt idx="2">
                  <c:v>0.46400000000000002</c:v>
                </c:pt>
                <c:pt idx="3">
                  <c:v>0.46870000000000001</c:v>
                </c:pt>
                <c:pt idx="4">
                  <c:v>0.47110000000000002</c:v>
                </c:pt>
                <c:pt idx="5">
                  <c:v>0.47570000000000001</c:v>
                </c:pt>
                <c:pt idx="6">
                  <c:v>0.47810000000000002</c:v>
                </c:pt>
                <c:pt idx="7">
                  <c:v>0.48270000000000002</c:v>
                </c:pt>
                <c:pt idx="8">
                  <c:v>0.48509999999999998</c:v>
                </c:pt>
                <c:pt idx="9">
                  <c:v>0.4874</c:v>
                </c:pt>
                <c:pt idx="10">
                  <c:v>0.49199999999999999</c:v>
                </c:pt>
                <c:pt idx="11">
                  <c:v>0.49430000000000002</c:v>
                </c:pt>
                <c:pt idx="12">
                  <c:v>0.49659999999999999</c:v>
                </c:pt>
                <c:pt idx="13">
                  <c:v>0.49890000000000001</c:v>
                </c:pt>
                <c:pt idx="14">
                  <c:v>0.50119999999999998</c:v>
                </c:pt>
                <c:pt idx="15">
                  <c:v>0.50580000000000003</c:v>
                </c:pt>
                <c:pt idx="16">
                  <c:v>0.51490000000000002</c:v>
                </c:pt>
                <c:pt idx="17">
                  <c:v>0.51719999999999999</c:v>
                </c:pt>
                <c:pt idx="18">
                  <c:v>0.52170000000000005</c:v>
                </c:pt>
                <c:pt idx="19">
                  <c:v>0.52400000000000002</c:v>
                </c:pt>
                <c:pt idx="20">
                  <c:v>0.52839999999999998</c:v>
                </c:pt>
                <c:pt idx="21">
                  <c:v>0.53510000000000002</c:v>
                </c:pt>
                <c:pt idx="22">
                  <c:v>0.53739999999999999</c:v>
                </c:pt>
                <c:pt idx="23">
                  <c:v>0.54400000000000004</c:v>
                </c:pt>
                <c:pt idx="24">
                  <c:v>0.5484</c:v>
                </c:pt>
                <c:pt idx="25">
                  <c:v>0.55059999999999998</c:v>
                </c:pt>
                <c:pt idx="26">
                  <c:v>0.56359999999999999</c:v>
                </c:pt>
                <c:pt idx="27">
                  <c:v>0.56779999999999997</c:v>
                </c:pt>
                <c:pt idx="28">
                  <c:v>0.56999999999999995</c:v>
                </c:pt>
                <c:pt idx="29">
                  <c:v>0.57210000000000005</c:v>
                </c:pt>
                <c:pt idx="30">
                  <c:v>0.57420000000000004</c:v>
                </c:pt>
                <c:pt idx="31">
                  <c:v>0.58679999999999999</c:v>
                </c:pt>
                <c:pt idx="32">
                  <c:v>0.58889999999999998</c:v>
                </c:pt>
                <c:pt idx="33">
                  <c:v>0.59299999999999997</c:v>
                </c:pt>
                <c:pt idx="34">
                  <c:v>0.60319999999999996</c:v>
                </c:pt>
                <c:pt idx="35">
                  <c:v>0.60519999999999996</c:v>
                </c:pt>
                <c:pt idx="36">
                  <c:v>0.60719999999999996</c:v>
                </c:pt>
                <c:pt idx="37">
                  <c:v>0.60919999999999996</c:v>
                </c:pt>
                <c:pt idx="38">
                  <c:v>0.61319999999999997</c:v>
                </c:pt>
                <c:pt idx="39">
                  <c:v>0.61519999999999997</c:v>
                </c:pt>
                <c:pt idx="40">
                  <c:v>0.61909999999999998</c:v>
                </c:pt>
                <c:pt idx="41">
                  <c:v>0.62309999999999999</c:v>
                </c:pt>
                <c:pt idx="42">
                  <c:v>0.63270000000000004</c:v>
                </c:pt>
                <c:pt idx="43">
                  <c:v>0.63649999999999995</c:v>
                </c:pt>
                <c:pt idx="44">
                  <c:v>0.64219999999999999</c:v>
                </c:pt>
                <c:pt idx="45">
                  <c:v>0.65149999999999997</c:v>
                </c:pt>
                <c:pt idx="46">
                  <c:v>0.65880000000000005</c:v>
                </c:pt>
                <c:pt idx="47">
                  <c:v>0.66059999999999997</c:v>
                </c:pt>
                <c:pt idx="48">
                  <c:v>0.66420000000000001</c:v>
                </c:pt>
                <c:pt idx="49">
                  <c:v>0.66600000000000004</c:v>
                </c:pt>
                <c:pt idx="50">
                  <c:v>0.66769999999999996</c:v>
                </c:pt>
                <c:pt idx="51">
                  <c:v>0.66949999999999998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DE-487A-9168-C1384D726712}"/>
            </c:ext>
          </c:extLst>
        </c:ser>
        <c:ser>
          <c:idx val="2"/>
          <c:order val="1"/>
          <c:tx>
            <c:strRef>
              <c:f>'Figure D2a-D5-suppliers'!$BJ$9</c:f>
              <c:strCache>
                <c:ptCount val="1"/>
                <c:pt idx="0">
                  <c:v>Cluster2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'Figure D2a-D5-suppliers'!$BH$10:$BH$61</c:f>
              <c:numCache>
                <c:formatCode>General</c:formatCode>
                <c:ptCount val="5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34</c:v>
                </c:pt>
                <c:pt idx="23">
                  <c:v>37</c:v>
                </c:pt>
                <c:pt idx="24">
                  <c:v>39</c:v>
                </c:pt>
                <c:pt idx="25">
                  <c:v>40</c:v>
                </c:pt>
                <c:pt idx="26">
                  <c:v>46</c:v>
                </c:pt>
                <c:pt idx="27">
                  <c:v>48</c:v>
                </c:pt>
                <c:pt idx="28">
                  <c:v>49</c:v>
                </c:pt>
                <c:pt idx="29">
                  <c:v>50</c:v>
                </c:pt>
                <c:pt idx="30">
                  <c:v>51</c:v>
                </c:pt>
                <c:pt idx="31">
                  <c:v>57</c:v>
                </c:pt>
                <c:pt idx="32">
                  <c:v>58</c:v>
                </c:pt>
                <c:pt idx="33">
                  <c:v>60</c:v>
                </c:pt>
                <c:pt idx="34">
                  <c:v>65</c:v>
                </c:pt>
                <c:pt idx="35">
                  <c:v>66</c:v>
                </c:pt>
                <c:pt idx="36">
                  <c:v>67</c:v>
                </c:pt>
                <c:pt idx="37">
                  <c:v>68</c:v>
                </c:pt>
                <c:pt idx="38">
                  <c:v>70</c:v>
                </c:pt>
                <c:pt idx="39">
                  <c:v>71</c:v>
                </c:pt>
                <c:pt idx="40">
                  <c:v>73</c:v>
                </c:pt>
                <c:pt idx="41">
                  <c:v>75</c:v>
                </c:pt>
                <c:pt idx="42">
                  <c:v>80</c:v>
                </c:pt>
                <c:pt idx="43">
                  <c:v>82</c:v>
                </c:pt>
                <c:pt idx="44">
                  <c:v>85</c:v>
                </c:pt>
                <c:pt idx="45">
                  <c:v>90</c:v>
                </c:pt>
                <c:pt idx="46">
                  <c:v>94</c:v>
                </c:pt>
                <c:pt idx="47">
                  <c:v>95</c:v>
                </c:pt>
                <c:pt idx="48">
                  <c:v>97</c:v>
                </c:pt>
                <c:pt idx="49">
                  <c:v>98</c:v>
                </c:pt>
                <c:pt idx="50">
                  <c:v>99</c:v>
                </c:pt>
                <c:pt idx="51">
                  <c:v>100</c:v>
                </c:pt>
              </c:numCache>
            </c:numRef>
          </c:xVal>
          <c:yVal>
            <c:numRef>
              <c:f>'Figure D2a-D5-suppliers'!$BJ$10:$BJ$61</c:f>
              <c:numCache>
                <c:formatCode>General</c:formatCode>
                <c:ptCount val="52"/>
                <c:pt idx="0">
                  <c:v>0.182</c:v>
                </c:pt>
                <c:pt idx="1">
                  <c:v>0.182</c:v>
                </c:pt>
                <c:pt idx="2">
                  <c:v>0.18210000000000001</c:v>
                </c:pt>
                <c:pt idx="3">
                  <c:v>0.1822</c:v>
                </c:pt>
                <c:pt idx="4">
                  <c:v>0.18229999999999999</c:v>
                </c:pt>
                <c:pt idx="5">
                  <c:v>0.18229999999999999</c:v>
                </c:pt>
                <c:pt idx="6">
                  <c:v>0.18240000000000001</c:v>
                </c:pt>
                <c:pt idx="7">
                  <c:v>0.18240000000000001</c:v>
                </c:pt>
                <c:pt idx="8">
                  <c:v>0.18240000000000001</c:v>
                </c:pt>
                <c:pt idx="9">
                  <c:v>0.18240000000000001</c:v>
                </c:pt>
                <c:pt idx="10">
                  <c:v>0.18240000000000001</c:v>
                </c:pt>
                <c:pt idx="11">
                  <c:v>0.18240000000000001</c:v>
                </c:pt>
                <c:pt idx="12">
                  <c:v>0.18240000000000001</c:v>
                </c:pt>
                <c:pt idx="13">
                  <c:v>0.18229999999999999</c:v>
                </c:pt>
                <c:pt idx="14">
                  <c:v>0.18229999999999999</c:v>
                </c:pt>
                <c:pt idx="15">
                  <c:v>0.1822</c:v>
                </c:pt>
                <c:pt idx="16">
                  <c:v>0.182</c:v>
                </c:pt>
                <c:pt idx="17">
                  <c:v>0.182</c:v>
                </c:pt>
                <c:pt idx="18">
                  <c:v>0.18179999999999999</c:v>
                </c:pt>
                <c:pt idx="19">
                  <c:v>0.1817</c:v>
                </c:pt>
                <c:pt idx="20">
                  <c:v>0.18160000000000001</c:v>
                </c:pt>
                <c:pt idx="21">
                  <c:v>0.18129999999999999</c:v>
                </c:pt>
                <c:pt idx="22">
                  <c:v>0.1812</c:v>
                </c:pt>
                <c:pt idx="23">
                  <c:v>0.18079999999999999</c:v>
                </c:pt>
                <c:pt idx="24">
                  <c:v>0.18049999999999999</c:v>
                </c:pt>
                <c:pt idx="25">
                  <c:v>0.1804</c:v>
                </c:pt>
                <c:pt idx="26">
                  <c:v>0.17949999999999999</c:v>
                </c:pt>
                <c:pt idx="27">
                  <c:v>0.17910000000000001</c:v>
                </c:pt>
                <c:pt idx="28">
                  <c:v>0.1789</c:v>
                </c:pt>
                <c:pt idx="29">
                  <c:v>0.17879999999999999</c:v>
                </c:pt>
                <c:pt idx="30">
                  <c:v>0.17860000000000001</c:v>
                </c:pt>
                <c:pt idx="31">
                  <c:v>0.17730000000000001</c:v>
                </c:pt>
                <c:pt idx="32">
                  <c:v>0.17710000000000001</c:v>
                </c:pt>
                <c:pt idx="33">
                  <c:v>0.1767</c:v>
                </c:pt>
                <c:pt idx="34">
                  <c:v>0.17549999999999999</c:v>
                </c:pt>
                <c:pt idx="35">
                  <c:v>0.17530000000000001</c:v>
                </c:pt>
                <c:pt idx="36">
                  <c:v>0.17499999999999999</c:v>
                </c:pt>
                <c:pt idx="37">
                  <c:v>0.17480000000000001</c:v>
                </c:pt>
                <c:pt idx="38">
                  <c:v>0.17419999999999999</c:v>
                </c:pt>
                <c:pt idx="39">
                  <c:v>0.17399999999999999</c:v>
                </c:pt>
                <c:pt idx="40">
                  <c:v>0.1734</c:v>
                </c:pt>
                <c:pt idx="41">
                  <c:v>0.1729</c:v>
                </c:pt>
                <c:pt idx="42">
                  <c:v>0.1714</c:v>
                </c:pt>
                <c:pt idx="43">
                  <c:v>0.17080000000000001</c:v>
                </c:pt>
                <c:pt idx="44">
                  <c:v>0.1699</c:v>
                </c:pt>
                <c:pt idx="45">
                  <c:v>0.16830000000000001</c:v>
                </c:pt>
                <c:pt idx="46">
                  <c:v>0.16700000000000001</c:v>
                </c:pt>
                <c:pt idx="47">
                  <c:v>0.16669999999999999</c:v>
                </c:pt>
                <c:pt idx="48">
                  <c:v>0.16600000000000001</c:v>
                </c:pt>
                <c:pt idx="49">
                  <c:v>0.16569999999999999</c:v>
                </c:pt>
                <c:pt idx="50">
                  <c:v>0.1653</c:v>
                </c:pt>
                <c:pt idx="51">
                  <c:v>0.16500000000000001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FDE-487A-9168-C1384D726712}"/>
            </c:ext>
          </c:extLst>
        </c:ser>
        <c:ser>
          <c:idx val="3"/>
          <c:order val="2"/>
          <c:tx>
            <c:strRef>
              <c:f>'Figure D2a-D5-suppliers'!$BK$9</c:f>
              <c:strCache>
                <c:ptCount val="1"/>
                <c:pt idx="0">
                  <c:v>Cluster3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'Figure D2a-D5-suppliers'!$BH$10:$BH$61</c:f>
              <c:numCache>
                <c:formatCode>General</c:formatCode>
                <c:ptCount val="5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34</c:v>
                </c:pt>
                <c:pt idx="23">
                  <c:v>37</c:v>
                </c:pt>
                <c:pt idx="24">
                  <c:v>39</c:v>
                </c:pt>
                <c:pt idx="25">
                  <c:v>40</c:v>
                </c:pt>
                <c:pt idx="26">
                  <c:v>46</c:v>
                </c:pt>
                <c:pt idx="27">
                  <c:v>48</c:v>
                </c:pt>
                <c:pt idx="28">
                  <c:v>49</c:v>
                </c:pt>
                <c:pt idx="29">
                  <c:v>50</c:v>
                </c:pt>
                <c:pt idx="30">
                  <c:v>51</c:v>
                </c:pt>
                <c:pt idx="31">
                  <c:v>57</c:v>
                </c:pt>
                <c:pt idx="32">
                  <c:v>58</c:v>
                </c:pt>
                <c:pt idx="33">
                  <c:v>60</c:v>
                </c:pt>
                <c:pt idx="34">
                  <c:v>65</c:v>
                </c:pt>
                <c:pt idx="35">
                  <c:v>66</c:v>
                </c:pt>
                <c:pt idx="36">
                  <c:v>67</c:v>
                </c:pt>
                <c:pt idx="37">
                  <c:v>68</c:v>
                </c:pt>
                <c:pt idx="38">
                  <c:v>70</c:v>
                </c:pt>
                <c:pt idx="39">
                  <c:v>71</c:v>
                </c:pt>
                <c:pt idx="40">
                  <c:v>73</c:v>
                </c:pt>
                <c:pt idx="41">
                  <c:v>75</c:v>
                </c:pt>
                <c:pt idx="42">
                  <c:v>80</c:v>
                </c:pt>
                <c:pt idx="43">
                  <c:v>82</c:v>
                </c:pt>
                <c:pt idx="44">
                  <c:v>85</c:v>
                </c:pt>
                <c:pt idx="45">
                  <c:v>90</c:v>
                </c:pt>
                <c:pt idx="46">
                  <c:v>94</c:v>
                </c:pt>
                <c:pt idx="47">
                  <c:v>95</c:v>
                </c:pt>
                <c:pt idx="48">
                  <c:v>97</c:v>
                </c:pt>
                <c:pt idx="49">
                  <c:v>98</c:v>
                </c:pt>
                <c:pt idx="50">
                  <c:v>99</c:v>
                </c:pt>
                <c:pt idx="51">
                  <c:v>100</c:v>
                </c:pt>
              </c:numCache>
            </c:numRef>
          </c:xVal>
          <c:yVal>
            <c:numRef>
              <c:f>'Figure D2a-D5-suppliers'!$BK$10:$BK$61</c:f>
              <c:numCache>
                <c:formatCode>General</c:formatCode>
                <c:ptCount val="52"/>
                <c:pt idx="0">
                  <c:v>0.29730000000000001</c:v>
                </c:pt>
                <c:pt idx="1">
                  <c:v>0.29570000000000002</c:v>
                </c:pt>
                <c:pt idx="2">
                  <c:v>0.29409999999999997</c:v>
                </c:pt>
                <c:pt idx="3">
                  <c:v>0.29099999999999998</c:v>
                </c:pt>
                <c:pt idx="4">
                  <c:v>0.28939999999999999</c:v>
                </c:pt>
                <c:pt idx="5">
                  <c:v>0.28620000000000001</c:v>
                </c:pt>
                <c:pt idx="6">
                  <c:v>0.28460000000000002</c:v>
                </c:pt>
                <c:pt idx="7">
                  <c:v>0.28139999999999998</c:v>
                </c:pt>
                <c:pt idx="8">
                  <c:v>0.27979999999999999</c:v>
                </c:pt>
                <c:pt idx="9">
                  <c:v>0.2782</c:v>
                </c:pt>
                <c:pt idx="10">
                  <c:v>0.27500000000000002</c:v>
                </c:pt>
                <c:pt idx="11">
                  <c:v>0.27339999999999998</c:v>
                </c:pt>
                <c:pt idx="12">
                  <c:v>0.27179999999999999</c:v>
                </c:pt>
                <c:pt idx="13">
                  <c:v>0.2702</c:v>
                </c:pt>
                <c:pt idx="14">
                  <c:v>0.26860000000000001</c:v>
                </c:pt>
                <c:pt idx="15">
                  <c:v>0.26540000000000002</c:v>
                </c:pt>
                <c:pt idx="16">
                  <c:v>0.2591</c:v>
                </c:pt>
                <c:pt idx="17">
                  <c:v>0.25750000000000001</c:v>
                </c:pt>
                <c:pt idx="18">
                  <c:v>0.25440000000000002</c:v>
                </c:pt>
                <c:pt idx="19">
                  <c:v>0.25280000000000002</c:v>
                </c:pt>
                <c:pt idx="20">
                  <c:v>0.24970000000000001</c:v>
                </c:pt>
                <c:pt idx="21">
                  <c:v>0.245</c:v>
                </c:pt>
                <c:pt idx="22">
                  <c:v>0.24349999999999999</c:v>
                </c:pt>
                <c:pt idx="23">
                  <c:v>0.23880000000000001</c:v>
                </c:pt>
                <c:pt idx="24">
                  <c:v>0.23569999999999999</c:v>
                </c:pt>
                <c:pt idx="25">
                  <c:v>0.23419999999999999</c:v>
                </c:pt>
                <c:pt idx="26">
                  <c:v>0.22509999999999999</c:v>
                </c:pt>
                <c:pt idx="27">
                  <c:v>0.22209999999999999</c:v>
                </c:pt>
                <c:pt idx="28">
                  <c:v>0.22059999999999999</c:v>
                </c:pt>
                <c:pt idx="29">
                  <c:v>0.21909999999999999</c:v>
                </c:pt>
                <c:pt idx="30">
                  <c:v>0.21759999999999999</c:v>
                </c:pt>
                <c:pt idx="31">
                  <c:v>0.20880000000000001</c:v>
                </c:pt>
                <c:pt idx="32">
                  <c:v>0.2074</c:v>
                </c:pt>
                <c:pt idx="33">
                  <c:v>0.20449999999999999</c:v>
                </c:pt>
                <c:pt idx="34">
                  <c:v>0.19739999999999999</c:v>
                </c:pt>
                <c:pt idx="35">
                  <c:v>0.19600000000000001</c:v>
                </c:pt>
                <c:pt idx="36">
                  <c:v>0.1946</c:v>
                </c:pt>
                <c:pt idx="37">
                  <c:v>0.19320000000000001</c:v>
                </c:pt>
                <c:pt idx="38">
                  <c:v>0.19040000000000001</c:v>
                </c:pt>
                <c:pt idx="39">
                  <c:v>0.189</c:v>
                </c:pt>
                <c:pt idx="40">
                  <c:v>0.18629999999999999</c:v>
                </c:pt>
                <c:pt idx="41">
                  <c:v>0.18360000000000001</c:v>
                </c:pt>
                <c:pt idx="42">
                  <c:v>0.1769</c:v>
                </c:pt>
                <c:pt idx="43">
                  <c:v>0.17430000000000001</c:v>
                </c:pt>
                <c:pt idx="44">
                  <c:v>0.1704</c:v>
                </c:pt>
                <c:pt idx="45">
                  <c:v>0.16400000000000001</c:v>
                </c:pt>
                <c:pt idx="46">
                  <c:v>0.159</c:v>
                </c:pt>
                <c:pt idx="47">
                  <c:v>0.1578</c:v>
                </c:pt>
                <c:pt idx="48">
                  <c:v>0.15529999999999999</c:v>
                </c:pt>
                <c:pt idx="49">
                  <c:v>0.15409999999999999</c:v>
                </c:pt>
                <c:pt idx="50">
                  <c:v>0.15290000000000001</c:v>
                </c:pt>
                <c:pt idx="51">
                  <c:v>0.1517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FDE-487A-9168-C1384D726712}"/>
            </c:ext>
          </c:extLst>
        </c:ser>
        <c:ser>
          <c:idx val="4"/>
          <c:order val="3"/>
          <c:tx>
            <c:strRef>
              <c:f>'Figure D2a-D5-suppliers'!$BL$9</c:f>
              <c:strCache>
                <c:ptCount val="1"/>
                <c:pt idx="0">
                  <c:v>Cluster4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'Figure D2a-D5-suppliers'!$BH$10:$BH$61</c:f>
              <c:numCache>
                <c:formatCode>General</c:formatCode>
                <c:ptCount val="5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20</c:v>
                </c:pt>
                <c:pt idx="16">
                  <c:v>24</c:v>
                </c:pt>
                <c:pt idx="17">
                  <c:v>25</c:v>
                </c:pt>
                <c:pt idx="18">
                  <c:v>27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34</c:v>
                </c:pt>
                <c:pt idx="23">
                  <c:v>37</c:v>
                </c:pt>
                <c:pt idx="24">
                  <c:v>39</c:v>
                </c:pt>
                <c:pt idx="25">
                  <c:v>40</c:v>
                </c:pt>
                <c:pt idx="26">
                  <c:v>46</c:v>
                </c:pt>
                <c:pt idx="27">
                  <c:v>48</c:v>
                </c:pt>
                <c:pt idx="28">
                  <c:v>49</c:v>
                </c:pt>
                <c:pt idx="29">
                  <c:v>50</c:v>
                </c:pt>
                <c:pt idx="30">
                  <c:v>51</c:v>
                </c:pt>
                <c:pt idx="31">
                  <c:v>57</c:v>
                </c:pt>
                <c:pt idx="32">
                  <c:v>58</c:v>
                </c:pt>
                <c:pt idx="33">
                  <c:v>60</c:v>
                </c:pt>
                <c:pt idx="34">
                  <c:v>65</c:v>
                </c:pt>
                <c:pt idx="35">
                  <c:v>66</c:v>
                </c:pt>
                <c:pt idx="36">
                  <c:v>67</c:v>
                </c:pt>
                <c:pt idx="37">
                  <c:v>68</c:v>
                </c:pt>
                <c:pt idx="38">
                  <c:v>70</c:v>
                </c:pt>
                <c:pt idx="39">
                  <c:v>71</c:v>
                </c:pt>
                <c:pt idx="40">
                  <c:v>73</c:v>
                </c:pt>
                <c:pt idx="41">
                  <c:v>75</c:v>
                </c:pt>
                <c:pt idx="42">
                  <c:v>80</c:v>
                </c:pt>
                <c:pt idx="43">
                  <c:v>82</c:v>
                </c:pt>
                <c:pt idx="44">
                  <c:v>85</c:v>
                </c:pt>
                <c:pt idx="45">
                  <c:v>90</c:v>
                </c:pt>
                <c:pt idx="46">
                  <c:v>94</c:v>
                </c:pt>
                <c:pt idx="47">
                  <c:v>95</c:v>
                </c:pt>
                <c:pt idx="48">
                  <c:v>97</c:v>
                </c:pt>
                <c:pt idx="49">
                  <c:v>98</c:v>
                </c:pt>
                <c:pt idx="50">
                  <c:v>99</c:v>
                </c:pt>
                <c:pt idx="51">
                  <c:v>100</c:v>
                </c:pt>
              </c:numCache>
            </c:numRef>
          </c:xVal>
          <c:yVal>
            <c:numRef>
              <c:f>'Figure D2a-D5-suppliers'!$BL$10:$BL$61</c:f>
              <c:numCache>
                <c:formatCode>General</c:formatCode>
                <c:ptCount val="52"/>
                <c:pt idx="0">
                  <c:v>6.1400000000000003E-2</c:v>
                </c:pt>
                <c:pt idx="1">
                  <c:v>6.0499999999999998E-2</c:v>
                </c:pt>
                <c:pt idx="2">
                  <c:v>5.9700000000000003E-2</c:v>
                </c:pt>
                <c:pt idx="3">
                  <c:v>5.8099999999999999E-2</c:v>
                </c:pt>
                <c:pt idx="4">
                  <c:v>5.7299999999999997E-2</c:v>
                </c:pt>
                <c:pt idx="5">
                  <c:v>5.5800000000000002E-2</c:v>
                </c:pt>
                <c:pt idx="6">
                  <c:v>5.5E-2</c:v>
                </c:pt>
                <c:pt idx="7">
                  <c:v>5.3499999999999999E-2</c:v>
                </c:pt>
                <c:pt idx="8">
                  <c:v>5.28E-2</c:v>
                </c:pt>
                <c:pt idx="9">
                  <c:v>5.1999999999999998E-2</c:v>
                </c:pt>
                <c:pt idx="10">
                  <c:v>5.0599999999999999E-2</c:v>
                </c:pt>
                <c:pt idx="11">
                  <c:v>4.99E-2</c:v>
                </c:pt>
                <c:pt idx="12">
                  <c:v>4.9200000000000001E-2</c:v>
                </c:pt>
                <c:pt idx="13">
                  <c:v>4.8500000000000001E-2</c:v>
                </c:pt>
                <c:pt idx="14">
                  <c:v>4.7800000000000002E-2</c:v>
                </c:pt>
                <c:pt idx="15">
                  <c:v>4.65E-2</c:v>
                </c:pt>
                <c:pt idx="16">
                  <c:v>4.3900000000000002E-2</c:v>
                </c:pt>
                <c:pt idx="17">
                  <c:v>4.3299999999999998E-2</c:v>
                </c:pt>
                <c:pt idx="18">
                  <c:v>4.2099999999999999E-2</c:v>
                </c:pt>
                <c:pt idx="19">
                  <c:v>4.1500000000000002E-2</c:v>
                </c:pt>
                <c:pt idx="20">
                  <c:v>4.0300000000000002E-2</c:v>
                </c:pt>
                <c:pt idx="21">
                  <c:v>3.8600000000000002E-2</c:v>
                </c:pt>
                <c:pt idx="22">
                  <c:v>3.7999999999999999E-2</c:v>
                </c:pt>
                <c:pt idx="23">
                  <c:v>3.6400000000000002E-2</c:v>
                </c:pt>
                <c:pt idx="24">
                  <c:v>3.5299999999999998E-2</c:v>
                </c:pt>
                <c:pt idx="25">
                  <c:v>3.4799999999999998E-2</c:v>
                </c:pt>
                <c:pt idx="26">
                  <c:v>3.1899999999999998E-2</c:v>
                </c:pt>
                <c:pt idx="27">
                  <c:v>3.09E-2</c:v>
                </c:pt>
                <c:pt idx="28">
                  <c:v>3.0499999999999999E-2</c:v>
                </c:pt>
                <c:pt idx="29">
                  <c:v>0.03</c:v>
                </c:pt>
                <c:pt idx="30">
                  <c:v>2.9600000000000001E-2</c:v>
                </c:pt>
                <c:pt idx="31">
                  <c:v>2.7E-2</c:v>
                </c:pt>
                <c:pt idx="32">
                  <c:v>2.6599999999999999E-2</c:v>
                </c:pt>
                <c:pt idx="33">
                  <c:v>2.58E-2</c:v>
                </c:pt>
                <c:pt idx="34">
                  <c:v>2.3900000000000001E-2</c:v>
                </c:pt>
                <c:pt idx="35">
                  <c:v>2.3599999999999999E-2</c:v>
                </c:pt>
                <c:pt idx="36">
                  <c:v>2.3199999999999998E-2</c:v>
                </c:pt>
                <c:pt idx="37">
                  <c:v>2.2800000000000001E-2</c:v>
                </c:pt>
                <c:pt idx="38">
                  <c:v>2.2100000000000002E-2</c:v>
                </c:pt>
                <c:pt idx="39">
                  <c:v>2.18E-2</c:v>
                </c:pt>
                <c:pt idx="40">
                  <c:v>2.1100000000000001E-2</c:v>
                </c:pt>
                <c:pt idx="41">
                  <c:v>2.0500000000000001E-2</c:v>
                </c:pt>
                <c:pt idx="42">
                  <c:v>1.9E-2</c:v>
                </c:pt>
                <c:pt idx="43">
                  <c:v>1.84E-2</c:v>
                </c:pt>
                <c:pt idx="44">
                  <c:v>1.7500000000000002E-2</c:v>
                </c:pt>
                <c:pt idx="45">
                  <c:v>1.6199999999999999E-2</c:v>
                </c:pt>
                <c:pt idx="46">
                  <c:v>1.52E-2</c:v>
                </c:pt>
                <c:pt idx="47">
                  <c:v>1.49E-2</c:v>
                </c:pt>
                <c:pt idx="48">
                  <c:v>1.4500000000000001E-2</c:v>
                </c:pt>
                <c:pt idx="49">
                  <c:v>1.4200000000000001E-2</c:v>
                </c:pt>
                <c:pt idx="50">
                  <c:v>1.4E-2</c:v>
                </c:pt>
                <c:pt idx="51">
                  <c:v>1.38E-2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FDE-487A-9168-C1384D726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703359"/>
        <c:axId val="1220536159"/>
      </c:scatterChart>
      <c:valAx>
        <c:axId val="746703359"/>
        <c:scaling>
          <c:orientation val="minMax"/>
          <c:max val="1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0536159"/>
        <c:crosses val="autoZero"/>
        <c:crossBetween val="midCat"/>
      </c:valAx>
      <c:valAx>
        <c:axId val="1220536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67033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948315835520555"/>
          <c:y val="0.33391149023038785"/>
          <c:w val="0.56723542567107876"/>
          <c:h val="7.7807701551623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D2a-D5-suppliers'!$CV$12</c:f>
              <c:strCache>
                <c:ptCount val="1"/>
                <c:pt idx="0">
                  <c:v>Cluster 1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D2a-D5-suppliers'!$CU$13,'Figure D2a-D5-suppliers'!$CU$16,'Figure D2a-D5-suppliers'!$CU$19)</c:f>
              <c:strCache>
                <c:ptCount val="3"/>
                <c:pt idx="0">
                  <c:v>Local â€“ main product sold mostly in same municipality wher</c:v>
                </c:pt>
                <c:pt idx="1">
                  <c:v>National â€“ main product sold mostly across the country whe</c:v>
                </c:pt>
                <c:pt idx="2">
                  <c:v>International</c:v>
                </c:pt>
              </c:strCache>
            </c:strRef>
          </c:cat>
          <c:val>
            <c:numRef>
              <c:f>('Figure D2a-D5-suppliers'!$CV$13,'Figure D2a-D5-suppliers'!$CV$16,'Figure D2a-D5-suppliers'!$CV$19)</c:f>
              <c:numCache>
                <c:formatCode>General</c:formatCode>
                <c:ptCount val="3"/>
                <c:pt idx="0">
                  <c:v>0.67379999999999995</c:v>
                </c:pt>
                <c:pt idx="1">
                  <c:v>0.69969999999999999</c:v>
                </c:pt>
                <c:pt idx="2">
                  <c:v>0.69789999999999996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BD-46CD-9384-ACB3856AF3C5}"/>
            </c:ext>
          </c:extLst>
        </c:ser>
        <c:ser>
          <c:idx val="1"/>
          <c:order val="1"/>
          <c:tx>
            <c:strRef>
              <c:f>'Figure D2a-D5-suppliers'!$CW$12</c:f>
              <c:strCache>
                <c:ptCount val="1"/>
                <c:pt idx="0">
                  <c:v>Cluster 2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D2a-D5-suppliers'!$CU$13,'Figure D2a-D5-suppliers'!$CU$16,'Figure D2a-D5-suppliers'!$CU$19)</c:f>
              <c:strCache>
                <c:ptCount val="3"/>
                <c:pt idx="0">
                  <c:v>Local â€“ main product sold mostly in same municipality wher</c:v>
                </c:pt>
                <c:pt idx="1">
                  <c:v>National â€“ main product sold mostly across the country whe</c:v>
                </c:pt>
                <c:pt idx="2">
                  <c:v>International</c:v>
                </c:pt>
              </c:strCache>
            </c:strRef>
          </c:cat>
          <c:val>
            <c:numRef>
              <c:f>('Figure D2a-D5-suppliers'!$CW$13,'Figure D2a-D5-suppliers'!$CW$16,'Figure D2a-D5-suppliers'!$CW$19)</c:f>
              <c:numCache>
                <c:formatCode>General</c:formatCode>
                <c:ptCount val="3"/>
                <c:pt idx="0">
                  <c:v>0.14249999999999999</c:v>
                </c:pt>
                <c:pt idx="1">
                  <c:v>0.1779</c:v>
                </c:pt>
                <c:pt idx="2">
                  <c:v>0.1454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BD-46CD-9384-ACB3856AF3C5}"/>
            </c:ext>
          </c:extLst>
        </c:ser>
        <c:ser>
          <c:idx val="2"/>
          <c:order val="2"/>
          <c:tx>
            <c:strRef>
              <c:f>'Figure D2a-D5-suppliers'!$CX$12</c:f>
              <c:strCache>
                <c:ptCount val="1"/>
                <c:pt idx="0">
                  <c:v>Cluster 3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D2a-D5-suppliers'!$CU$13,'Figure D2a-D5-suppliers'!$CU$16,'Figure D2a-D5-suppliers'!$CU$19)</c:f>
              <c:strCache>
                <c:ptCount val="3"/>
                <c:pt idx="0">
                  <c:v>Local â€“ main product sold mostly in same municipality wher</c:v>
                </c:pt>
                <c:pt idx="1">
                  <c:v>National â€“ main product sold mostly across the country whe</c:v>
                </c:pt>
                <c:pt idx="2">
                  <c:v>International</c:v>
                </c:pt>
              </c:strCache>
            </c:strRef>
          </c:cat>
          <c:val>
            <c:numRef>
              <c:f>('Figure D2a-D5-suppliers'!$CX$13,'Figure D2a-D5-suppliers'!$CX$16,'Figure D2a-D5-suppliers'!$CX$19)</c:f>
              <c:numCache>
                <c:formatCode>General</c:formatCode>
                <c:ptCount val="3"/>
                <c:pt idx="0">
                  <c:v>0.15959999999999999</c:v>
                </c:pt>
                <c:pt idx="1">
                  <c:v>0.11799999999999999</c:v>
                </c:pt>
                <c:pt idx="2">
                  <c:v>0.1537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BD-46CD-9384-ACB3856AF3C5}"/>
            </c:ext>
          </c:extLst>
        </c:ser>
        <c:ser>
          <c:idx val="3"/>
          <c:order val="3"/>
          <c:tx>
            <c:strRef>
              <c:f>'Figure D2a-D5-suppliers'!$CY$12</c:f>
              <c:strCache>
                <c:ptCount val="1"/>
                <c:pt idx="0">
                  <c:v>Cluster 4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D2a-D5-suppliers'!$CU$13,'Figure D2a-D5-suppliers'!$CU$16,'Figure D2a-D5-suppliers'!$CU$19)</c:f>
              <c:strCache>
                <c:ptCount val="3"/>
                <c:pt idx="0">
                  <c:v>Local â€“ main product sold mostly in same municipality wher</c:v>
                </c:pt>
                <c:pt idx="1">
                  <c:v>National â€“ main product sold mostly across the country whe</c:v>
                </c:pt>
                <c:pt idx="2">
                  <c:v>International</c:v>
                </c:pt>
              </c:strCache>
            </c:strRef>
          </c:cat>
          <c:val>
            <c:numRef>
              <c:f>('Figure D2a-D5-suppliers'!$CY$13,'Figure D2a-D5-suppliers'!$CY$16,'Figure D2a-D5-suppliers'!$CY$19)</c:f>
              <c:numCache>
                <c:formatCode>General</c:formatCode>
                <c:ptCount val="3"/>
                <c:pt idx="0">
                  <c:v>2.41E-2</c:v>
                </c:pt>
                <c:pt idx="1">
                  <c:v>4.4999999999999997E-3</c:v>
                </c:pt>
                <c:pt idx="2">
                  <c:v>3.0999999999999999E-3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BD-46CD-9384-ACB3856AF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'Figure D2a-D5-suppliers'!$DR$13</c:f>
              <c:strCache>
                <c:ptCount val="1"/>
                <c:pt idx="0">
                  <c:v>Cluster 1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D2a-D5-suppliers'!$DQ$14,'Figure D2a-D5-suppliers'!$DQ$17,'Figure D2a-D5-suppliers'!$DQ$20)</c:f>
              <c:strCache>
                <c:ptCount val="3"/>
                <c:pt idx="0">
                  <c:v>Manufacturing</c:v>
                </c:pt>
                <c:pt idx="1">
                  <c:v>Retail</c:v>
                </c:pt>
                <c:pt idx="2">
                  <c:v>Other Services</c:v>
                </c:pt>
              </c:strCache>
            </c:strRef>
          </c:cat>
          <c:val>
            <c:numRef>
              <c:f>('Figure D2a-D5-suppliers'!$DR$14,'Figure D2a-D5-suppliers'!$DR$17,'Figure D2a-D5-suppliers'!$DR$20)</c:f>
              <c:numCache>
                <c:formatCode>General</c:formatCode>
                <c:ptCount val="3"/>
                <c:pt idx="0">
                  <c:v>0.68840000000000001</c:v>
                </c:pt>
                <c:pt idx="1">
                  <c:v>0.72989999999999999</c:v>
                </c:pt>
                <c:pt idx="2">
                  <c:v>0.60170000000000001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9-492C-9966-8AA4E6368EDA}"/>
            </c:ext>
          </c:extLst>
        </c:ser>
        <c:ser>
          <c:idx val="0"/>
          <c:order val="1"/>
          <c:tx>
            <c:strRef>
              <c:f>'Figure D2a-D5-suppliers'!$DS$13</c:f>
              <c:strCache>
                <c:ptCount val="1"/>
                <c:pt idx="0">
                  <c:v>Cluster 2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D2a-D5-suppliers'!$DQ$14,'Figure D2a-D5-suppliers'!$DQ$17,'Figure D2a-D5-suppliers'!$DQ$20)</c:f>
              <c:strCache>
                <c:ptCount val="3"/>
                <c:pt idx="0">
                  <c:v>Manufacturing</c:v>
                </c:pt>
                <c:pt idx="1">
                  <c:v>Retail</c:v>
                </c:pt>
                <c:pt idx="2">
                  <c:v>Other Services</c:v>
                </c:pt>
              </c:strCache>
            </c:strRef>
          </c:cat>
          <c:val>
            <c:numRef>
              <c:f>('Figure D2a-D5-suppliers'!$DS$14,'Figure D2a-D5-suppliers'!$DS$17,'Figure D2a-D5-suppliers'!$DS$20)</c:f>
              <c:numCache>
                <c:formatCode>General</c:formatCode>
                <c:ptCount val="3"/>
                <c:pt idx="0">
                  <c:v>0.1623</c:v>
                </c:pt>
                <c:pt idx="1">
                  <c:v>0.1169</c:v>
                </c:pt>
                <c:pt idx="2">
                  <c:v>0.1895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49-492C-9966-8AA4E6368EDA}"/>
            </c:ext>
          </c:extLst>
        </c:ser>
        <c:ser>
          <c:idx val="2"/>
          <c:order val="2"/>
          <c:tx>
            <c:strRef>
              <c:f>'Figure D2a-D5-suppliers'!$DT$13</c:f>
              <c:strCache>
                <c:ptCount val="1"/>
                <c:pt idx="0">
                  <c:v>Cluster 3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D2a-D5-suppliers'!$DQ$14,'Figure D2a-D5-suppliers'!$DQ$17,'Figure D2a-D5-suppliers'!$DQ$20)</c:f>
              <c:strCache>
                <c:ptCount val="3"/>
                <c:pt idx="0">
                  <c:v>Manufacturing</c:v>
                </c:pt>
                <c:pt idx="1">
                  <c:v>Retail</c:v>
                </c:pt>
                <c:pt idx="2">
                  <c:v>Other Services</c:v>
                </c:pt>
              </c:strCache>
            </c:strRef>
          </c:cat>
          <c:val>
            <c:numRef>
              <c:f>('Figure D2a-D5-suppliers'!$DT$14,'Figure D2a-D5-suppliers'!$DT$17,'Figure D2a-D5-suppliers'!$DT$20)</c:f>
              <c:numCache>
                <c:formatCode>General</c:formatCode>
                <c:ptCount val="3"/>
                <c:pt idx="0">
                  <c:v>0.13639999999999999</c:v>
                </c:pt>
                <c:pt idx="1">
                  <c:v>0.1424</c:v>
                </c:pt>
                <c:pt idx="2">
                  <c:v>0.18720000000000001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49-492C-9966-8AA4E6368EDA}"/>
            </c:ext>
          </c:extLst>
        </c:ser>
        <c:ser>
          <c:idx val="3"/>
          <c:order val="3"/>
          <c:tx>
            <c:strRef>
              <c:f>'Figure D2a-D5-suppliers'!$DU$13</c:f>
              <c:strCache>
                <c:ptCount val="1"/>
                <c:pt idx="0">
                  <c:v>Cluster 4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('Figure D2a-D5-suppliers'!$DQ$14,'Figure D2a-D5-suppliers'!$DQ$17,'Figure D2a-D5-suppliers'!$DQ$20)</c:f>
              <c:strCache>
                <c:ptCount val="3"/>
                <c:pt idx="0">
                  <c:v>Manufacturing</c:v>
                </c:pt>
                <c:pt idx="1">
                  <c:v>Retail</c:v>
                </c:pt>
                <c:pt idx="2">
                  <c:v>Other Services</c:v>
                </c:pt>
              </c:strCache>
            </c:strRef>
          </c:cat>
          <c:val>
            <c:numRef>
              <c:f>('Figure D2a-D5-suppliers'!$DU$14,'Figure D2a-D5-suppliers'!$DU$17,'Figure D2a-D5-suppliers'!$DU$20)</c:f>
              <c:numCache>
                <c:formatCode>General</c:formatCode>
                <c:ptCount val="3"/>
                <c:pt idx="0">
                  <c:v>1.29E-2</c:v>
                </c:pt>
                <c:pt idx="1">
                  <c:v>1.0800000000000001E-2</c:v>
                </c:pt>
                <c:pt idx="2">
                  <c:v>2.1700000000000001E-2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49-492C-9966-8AA4E6368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'Figure D2a-D5-suppliers'!$FU$18</c:f>
              <c:strCache>
                <c:ptCount val="1"/>
                <c:pt idx="0">
                  <c:v>Cluster 1</c:v>
                </c:pt>
              </c:strCache>
            </c:strRef>
          </c:tx>
          <c:spPr>
            <a:solidFill>
              <a:schemeClr val="accent6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D2a-D5-suppliers'!$FT$19,'Figure D2a-D5-suppliers'!$FT$22,'Figure D2a-D5-suppliers'!$FT$25,'Figure D2a-D5-suppliers'!$FT$28)</c:f>
              <c:strCache>
                <c:ptCount val="4"/>
                <c:pt idx="0">
                  <c:v>Shareholding company with shares trade in the stock market</c:v>
                </c:pt>
                <c:pt idx="1">
                  <c:v>Shareholding company with non-traded shares or shares traded</c:v>
                </c:pt>
                <c:pt idx="2">
                  <c:v>Sole proprietorship</c:v>
                </c:pt>
                <c:pt idx="3">
                  <c:v>Limited partnership</c:v>
                </c:pt>
              </c:strCache>
            </c:strRef>
          </c:cat>
          <c:val>
            <c:numRef>
              <c:f>('Figure D2a-D5-suppliers'!$FU$19,'Figure D2a-D5-suppliers'!$FU$22,'Figure D2a-D5-suppliers'!$FU$25,'Figure D2a-D5-suppliers'!$FU$28)</c:f>
              <c:numCache>
                <c:formatCode>General</c:formatCode>
                <c:ptCount val="4"/>
                <c:pt idx="0">
                  <c:v>0.70940000000000003</c:v>
                </c:pt>
                <c:pt idx="1">
                  <c:v>0.63470000000000004</c:v>
                </c:pt>
                <c:pt idx="2">
                  <c:v>0.69650000000000001</c:v>
                </c:pt>
                <c:pt idx="3">
                  <c:v>0.67249999999999999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C8A6-4FE1-AB9A-AB6A6B8CDF5A}"/>
            </c:ext>
          </c:extLst>
        </c:ser>
        <c:ser>
          <c:idx val="0"/>
          <c:order val="1"/>
          <c:tx>
            <c:strRef>
              <c:f>'Figure D2a-D5-suppliers'!$FV$18</c:f>
              <c:strCache>
                <c:ptCount val="1"/>
                <c:pt idx="0">
                  <c:v>Cluster 2</c:v>
                </c:pt>
              </c:strCache>
            </c:strRef>
          </c:tx>
          <c:spPr>
            <a:solidFill>
              <a:schemeClr val="accent6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D2a-D5-suppliers'!$FT$19,'Figure D2a-D5-suppliers'!$FT$22,'Figure D2a-D5-suppliers'!$FT$25,'Figure D2a-D5-suppliers'!$FT$28)</c:f>
              <c:strCache>
                <c:ptCount val="4"/>
                <c:pt idx="0">
                  <c:v>Shareholding company with shares trade in the stock market</c:v>
                </c:pt>
                <c:pt idx="1">
                  <c:v>Shareholding company with non-traded shares or shares traded</c:v>
                </c:pt>
                <c:pt idx="2">
                  <c:v>Sole proprietorship</c:v>
                </c:pt>
                <c:pt idx="3">
                  <c:v>Limited partnership</c:v>
                </c:pt>
              </c:strCache>
            </c:strRef>
          </c:cat>
          <c:val>
            <c:numRef>
              <c:f>('Figure D2a-D5-suppliers'!$FV$19,'Figure D2a-D5-suppliers'!$FV$22,'Figure D2a-D5-suppliers'!$FV$25,'Figure D2a-D5-suppliers'!$FV$28)</c:f>
              <c:numCache>
                <c:formatCode>General</c:formatCode>
                <c:ptCount val="4"/>
                <c:pt idx="0">
                  <c:v>9.5899999999999999E-2</c:v>
                </c:pt>
                <c:pt idx="1">
                  <c:v>0.17949999999999999</c:v>
                </c:pt>
                <c:pt idx="2">
                  <c:v>0.20580000000000001</c:v>
                </c:pt>
                <c:pt idx="3">
                  <c:v>0.14910000000000001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6-4FE1-AB9A-AB6A6B8CDF5A}"/>
            </c:ext>
          </c:extLst>
        </c:ser>
        <c:ser>
          <c:idx val="2"/>
          <c:order val="2"/>
          <c:tx>
            <c:strRef>
              <c:f>'Figure D2a-D5-suppliers'!$FW$18</c:f>
              <c:strCache>
                <c:ptCount val="1"/>
                <c:pt idx="0">
                  <c:v>Cluster 3</c:v>
                </c:pt>
              </c:strCache>
            </c:strRef>
          </c:tx>
          <c:spPr>
            <a:solidFill>
              <a:schemeClr val="accent6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D2a-D5-suppliers'!$FT$19,'Figure D2a-D5-suppliers'!$FT$22,'Figure D2a-D5-suppliers'!$FT$25,'Figure D2a-D5-suppliers'!$FT$28)</c:f>
              <c:strCache>
                <c:ptCount val="4"/>
                <c:pt idx="0">
                  <c:v>Shareholding company with shares trade in the stock market</c:v>
                </c:pt>
                <c:pt idx="1">
                  <c:v>Shareholding company with non-traded shares or shares traded</c:v>
                </c:pt>
                <c:pt idx="2">
                  <c:v>Sole proprietorship</c:v>
                </c:pt>
                <c:pt idx="3">
                  <c:v>Limited partnership</c:v>
                </c:pt>
              </c:strCache>
            </c:strRef>
          </c:cat>
          <c:val>
            <c:numRef>
              <c:f>('Figure D2a-D5-suppliers'!$FW$19,'Figure D2a-D5-suppliers'!$FW$22,'Figure D2a-D5-suppliers'!$FW$25,'Figure D2a-D5-suppliers'!$FW$28)</c:f>
              <c:numCache>
                <c:formatCode>General</c:formatCode>
                <c:ptCount val="4"/>
                <c:pt idx="0">
                  <c:v>0.1555</c:v>
                </c:pt>
                <c:pt idx="1">
                  <c:v>0.17100000000000001</c:v>
                </c:pt>
                <c:pt idx="2">
                  <c:v>0.09</c:v>
                </c:pt>
                <c:pt idx="3">
                  <c:v>0.1628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A6-4FE1-AB9A-AB6A6B8CDF5A}"/>
            </c:ext>
          </c:extLst>
        </c:ser>
        <c:ser>
          <c:idx val="3"/>
          <c:order val="3"/>
          <c:tx>
            <c:strRef>
              <c:f>'Figure D2a-D5-suppliers'!$FX$18</c:f>
              <c:strCache>
                <c:ptCount val="1"/>
                <c:pt idx="0">
                  <c:v>Cluster 4</c:v>
                </c:pt>
              </c:strCache>
            </c:strRef>
          </c:tx>
          <c:spPr>
            <a:solidFill>
              <a:schemeClr val="accent6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('Figure D2a-D5-suppliers'!$FT$19,'Figure D2a-D5-suppliers'!$FT$22,'Figure D2a-D5-suppliers'!$FT$25,'Figure D2a-D5-suppliers'!$FT$28)</c:f>
              <c:strCache>
                <c:ptCount val="4"/>
                <c:pt idx="0">
                  <c:v>Shareholding company with shares trade in the stock market</c:v>
                </c:pt>
                <c:pt idx="1">
                  <c:v>Shareholding company with non-traded shares or shares traded</c:v>
                </c:pt>
                <c:pt idx="2">
                  <c:v>Sole proprietorship</c:v>
                </c:pt>
                <c:pt idx="3">
                  <c:v>Limited partnership</c:v>
                </c:pt>
              </c:strCache>
            </c:strRef>
          </c:cat>
          <c:val>
            <c:numRef>
              <c:f>('Figure D2a-D5-suppliers'!$FX$19,'Figure D2a-D5-suppliers'!$FX$22,'Figure D2a-D5-suppliers'!$FX$25,'Figure D2a-D5-suppliers'!$FX$28)</c:f>
              <c:numCache>
                <c:formatCode>General</c:formatCode>
                <c:ptCount val="4"/>
                <c:pt idx="0">
                  <c:v>3.9100000000000003E-2</c:v>
                </c:pt>
                <c:pt idx="1">
                  <c:v>1.4800000000000001E-2</c:v>
                </c:pt>
                <c:pt idx="2">
                  <c:v>7.7000000000000002E-3</c:v>
                </c:pt>
                <c:pt idx="3">
                  <c:v>1.5599999999999999E-2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A6-4FE1-AB9A-AB6A6B8CD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  <c:extLst/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1"/>
          <c:tx>
            <c:strRef>
              <c:f>'Figure D2a-D5-suppliers'!$GQ$10</c:f>
              <c:strCache>
                <c:ptCount val="1"/>
                <c:pt idx="0">
                  <c:v>Cluster 1</c:v>
                </c:pt>
              </c:strCache>
            </c:strRef>
          </c:tx>
          <c:spPr>
            <a:solidFill>
              <a:schemeClr val="accent6">
                <a:tint val="5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('Figure D2a-D5-suppliers'!$GP$11,'Figure D2a-D5-suppliers'!$GP$14)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('Figure D2a-D5-suppliers'!$GQ$11,'Figure D2a-D5-suppliers'!$GQ$14)</c:f>
              <c:numCache>
                <c:formatCode>General</c:formatCode>
                <c:ptCount val="2"/>
                <c:pt idx="0">
                  <c:v>0.65339999999999998</c:v>
                </c:pt>
                <c:pt idx="1">
                  <c:v>0.69610000000000005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FA-4761-B1D5-8CBE28C5193D}"/>
            </c:ext>
          </c:extLst>
        </c:ser>
        <c:ser>
          <c:idx val="2"/>
          <c:order val="2"/>
          <c:tx>
            <c:strRef>
              <c:f>'Figure D2a-D5-suppliers'!$GR$10</c:f>
              <c:strCache>
                <c:ptCount val="1"/>
                <c:pt idx="0">
                  <c:v>Cluster 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('Figure D2a-D5-suppliers'!$GP$11,'Figure D2a-D5-suppliers'!$GP$14)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('Figure D2a-D5-suppliers'!$GR$11,'Figure D2a-D5-suppliers'!$GR$14)</c:f>
              <c:numCache>
                <c:formatCode>General</c:formatCode>
                <c:ptCount val="2"/>
                <c:pt idx="0">
                  <c:v>0.16209999999999999</c:v>
                </c:pt>
                <c:pt idx="1">
                  <c:v>0.2064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FA-4761-B1D5-8CBE28C5193D}"/>
            </c:ext>
          </c:extLst>
        </c:ser>
        <c:ser>
          <c:idx val="3"/>
          <c:order val="3"/>
          <c:tx>
            <c:strRef>
              <c:f>'Figure D2a-D5-suppliers'!$GS$10</c:f>
              <c:strCache>
                <c:ptCount val="1"/>
                <c:pt idx="0">
                  <c:v>Cluster 3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('Figure D2a-D5-suppliers'!$GP$11,'Figure D2a-D5-suppliers'!$GP$14)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('Figure D2a-D5-suppliers'!$GS$11,'Figure D2a-D5-suppliers'!$GS$14)</c:f>
              <c:numCache>
                <c:formatCode>General</c:formatCode>
                <c:ptCount val="2"/>
                <c:pt idx="0">
                  <c:v>0.16719999999999999</c:v>
                </c:pt>
                <c:pt idx="1">
                  <c:v>8.9899999999999994E-2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FA-4761-B1D5-8CBE28C5193D}"/>
            </c:ext>
          </c:extLst>
        </c:ser>
        <c:ser>
          <c:idx val="4"/>
          <c:order val="4"/>
          <c:tx>
            <c:strRef>
              <c:f>'Figure D2a-D5-suppliers'!$GT$10</c:f>
              <c:strCache>
                <c:ptCount val="1"/>
                <c:pt idx="0">
                  <c:v>Cluster 4</c:v>
                </c:pt>
              </c:strCache>
            </c:strRef>
          </c:tx>
          <c:spPr>
            <a:solidFill>
              <a:schemeClr val="accent6">
                <a:shade val="5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('Figure D2a-D5-suppliers'!$GP$11,'Figure D2a-D5-suppliers'!$GP$14)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cat>
          <c:val>
            <c:numRef>
              <c:f>('Figure D2a-D5-suppliers'!$GT$11,'Figure D2a-D5-suppliers'!$GT$14)</c:f>
              <c:numCache>
                <c:formatCode>General</c:formatCode>
                <c:ptCount val="2"/>
                <c:pt idx="0">
                  <c:v>1.7299999999999999E-2</c:v>
                </c:pt>
                <c:pt idx="1">
                  <c:v>7.6E-3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FA-4761-B1D5-8CBE28C51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54463"/>
        <c:axId val="16355856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'Figure D2a-D5-suppliers'!$GP$10</c15:sqref>
                        </c15:formulaRef>
                      </c:ext>
                    </c:extLst>
                    <c:strCache>
                      <c:ptCount val="1"/>
                      <c:pt idx="0">
                        <c:v>Estimated Values</c:v>
                      </c:pt>
                    </c:strCache>
                  </c:strRef>
                </c:tx>
                <c:spPr>
                  <a:solidFill>
                    <a:schemeClr val="accent6">
                      <a:tint val="77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('Figure D2a-D5-suppliers'!$GP$11,'Figure D2a-D5-suppliers'!$GP$14)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100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('Figure D2a-D5-suppliers'!$GP$11,'Figure D2a-D5-suppliers'!$GP$14)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100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B2FA-4761-B1D5-8CBE28C5193D}"/>
                  </c:ext>
                </c:extLst>
              </c15:ser>
            </c15:filteredBarSeries>
          </c:ext>
        </c:extLst>
      </c:barChart>
      <c:catAx>
        <c:axId val="5025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55856"/>
        <c:crosses val="autoZero"/>
        <c:auto val="1"/>
        <c:lblAlgn val="ctr"/>
        <c:lblOffset val="100"/>
        <c:noMultiLvlLbl val="0"/>
      </c:catAx>
      <c:valAx>
        <c:axId val="16355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11" Type="http://schemas.openxmlformats.org/officeDocument/2006/relationships/chart" Target="../charts/chart15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409574</xdr:colOff>
      <xdr:row>21</xdr:row>
      <xdr:rowOff>66675</xdr:rowOff>
    </xdr:from>
    <xdr:to>
      <xdr:col>51</xdr:col>
      <xdr:colOff>704849</xdr:colOff>
      <xdr:row>37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236220</xdr:colOff>
      <xdr:row>13</xdr:row>
      <xdr:rowOff>38100</xdr:rowOff>
    </xdr:from>
    <xdr:to>
      <xdr:col>10</xdr:col>
      <xdr:colOff>304800</xdr:colOff>
      <xdr:row>27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251461</xdr:colOff>
      <xdr:row>18</xdr:row>
      <xdr:rowOff>15240</xdr:rowOff>
    </xdr:from>
    <xdr:to>
      <xdr:col>24</xdr:col>
      <xdr:colOff>428625</xdr:colOff>
      <xdr:row>32</xdr:row>
      <xdr:rowOff>91440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495301</xdr:colOff>
      <xdr:row>13</xdr:row>
      <xdr:rowOff>9525</xdr:rowOff>
    </xdr:from>
    <xdr:to>
      <xdr:col>36</xdr:col>
      <xdr:colOff>95250</xdr:colOff>
      <xdr:row>25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74543</xdr:colOff>
      <xdr:row>8</xdr:row>
      <xdr:rowOff>165652</xdr:rowOff>
    </xdr:from>
    <xdr:to>
      <xdr:col>71</xdr:col>
      <xdr:colOff>127216</xdr:colOff>
      <xdr:row>23</xdr:row>
      <xdr:rowOff>62558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103</xdr:col>
      <xdr:colOff>186690</xdr:colOff>
      <xdr:row>10</xdr:row>
      <xdr:rowOff>161925</xdr:rowOff>
    </xdr:from>
    <xdr:to>
      <xdr:col>110</xdr:col>
      <xdr:colOff>371475</xdr:colOff>
      <xdr:row>25</xdr:row>
      <xdr:rowOff>55245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125</xdr:col>
      <xdr:colOff>200025</xdr:colOff>
      <xdr:row>8</xdr:row>
      <xdr:rowOff>47625</xdr:rowOff>
    </xdr:from>
    <xdr:to>
      <xdr:col>130</xdr:col>
      <xdr:colOff>542925</xdr:colOff>
      <xdr:row>22</xdr:row>
      <xdr:rowOff>131445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180</xdr:col>
      <xdr:colOff>167640</xdr:colOff>
      <xdr:row>17</xdr:row>
      <xdr:rowOff>0</xdr:rowOff>
    </xdr:from>
    <xdr:to>
      <xdr:col>188</xdr:col>
      <xdr:colOff>22860</xdr:colOff>
      <xdr:row>34</xdr:row>
      <xdr:rowOff>121920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202</xdr:col>
      <xdr:colOff>137160</xdr:colOff>
      <xdr:row>8</xdr:row>
      <xdr:rowOff>0</xdr:rowOff>
    </xdr:from>
    <xdr:to>
      <xdr:col>207</xdr:col>
      <xdr:colOff>413385</xdr:colOff>
      <xdr:row>22</xdr:row>
      <xdr:rowOff>83820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526676</xdr:colOff>
      <xdr:row>17</xdr:row>
      <xdr:rowOff>168088</xdr:rowOff>
    </xdr:from>
    <xdr:to>
      <xdr:col>5</xdr:col>
      <xdr:colOff>313765</xdr:colOff>
      <xdr:row>32</xdr:row>
      <xdr:rowOff>53788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86591</xdr:colOff>
      <xdr:row>18</xdr:row>
      <xdr:rowOff>138545</xdr:rowOff>
    </xdr:from>
    <xdr:to>
      <xdr:col>15</xdr:col>
      <xdr:colOff>561974</xdr:colOff>
      <xdr:row>33</xdr:row>
      <xdr:rowOff>24245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0</xdr:colOff>
      <xdr:row>29</xdr:row>
      <xdr:rowOff>38099</xdr:rowOff>
    </xdr:from>
    <xdr:to>
      <xdr:col>38</xdr:col>
      <xdr:colOff>457200</xdr:colOff>
      <xdr:row>53</xdr:row>
      <xdr:rowOff>85724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159</xdr:col>
      <xdr:colOff>588820</xdr:colOff>
      <xdr:row>11</xdr:row>
      <xdr:rowOff>150092</xdr:rowOff>
    </xdr:from>
    <xdr:to>
      <xdr:col>169</xdr:col>
      <xdr:colOff>605385</xdr:colOff>
      <xdr:row>25</xdr:row>
      <xdr:rowOff>121574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41</xdr:col>
      <xdr:colOff>0</xdr:colOff>
      <xdr:row>19</xdr:row>
      <xdr:rowOff>190499</xdr:rowOff>
    </xdr:from>
    <xdr:to>
      <xdr:col>45</xdr:col>
      <xdr:colOff>366280</xdr:colOff>
      <xdr:row>30</xdr:row>
      <xdr:rowOff>133350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49</xdr:col>
      <xdr:colOff>0</xdr:colOff>
      <xdr:row>18</xdr:row>
      <xdr:rowOff>1</xdr:rowOff>
    </xdr:from>
    <xdr:to>
      <xdr:col>53</xdr:col>
      <xdr:colOff>366279</xdr:colOff>
      <xdr:row>29</xdr:row>
      <xdr:rowOff>38101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9"/>
  <sheetViews>
    <sheetView zoomScale="70" zoomScaleNormal="70" workbookViewId="0">
      <pane ySplit="1" topLeftCell="A2" activePane="bottomLeft" state="frozen"/>
      <selection pane="bottomLeft"/>
    </sheetView>
  </sheetViews>
  <sheetFormatPr defaultRowHeight="15" x14ac:dyDescent="0.25"/>
  <cols>
    <col min="1" max="1" width="68" customWidth="1"/>
    <col min="5" max="5" width="12" bestFit="1" customWidth="1"/>
    <col min="6" max="6" width="13.28515625" bestFit="1" customWidth="1"/>
    <col min="8" max="8" width="15.5703125" customWidth="1"/>
    <col min="9" max="9" width="16.5703125" customWidth="1"/>
    <col min="10" max="10" width="15" customWidth="1"/>
    <col min="11" max="11" width="14.7109375" customWidth="1"/>
    <col min="12" max="12" width="18.140625" customWidth="1"/>
    <col min="13" max="13" width="15.5703125" customWidth="1"/>
    <col min="14" max="14" width="16.5703125" customWidth="1"/>
    <col min="15" max="15" width="15" customWidth="1"/>
    <col min="16" max="16" width="14.7109375" customWidth="1"/>
    <col min="17" max="17" width="18.140625" customWidth="1"/>
    <col min="18" max="18" width="15.5703125" customWidth="1"/>
    <col min="19" max="19" width="16.5703125" customWidth="1"/>
    <col min="20" max="20" width="15" customWidth="1"/>
    <col min="21" max="21" width="14.7109375" customWidth="1"/>
    <col min="22" max="22" width="18.140625" customWidth="1"/>
  </cols>
  <sheetData>
    <row r="1" spans="1:22" s="6" customFormat="1" ht="30" x14ac:dyDescent="0.25">
      <c r="A1" s="6" t="s">
        <v>255</v>
      </c>
      <c r="B1" s="17" t="s">
        <v>245</v>
      </c>
      <c r="C1" s="17" t="s">
        <v>246</v>
      </c>
      <c r="D1" s="17" t="s">
        <v>247</v>
      </c>
      <c r="E1" s="6" t="s">
        <v>106</v>
      </c>
      <c r="F1" s="6" t="s">
        <v>9</v>
      </c>
      <c r="G1" t="s">
        <v>305</v>
      </c>
      <c r="H1" s="28" t="s">
        <v>306</v>
      </c>
      <c r="I1" s="29" t="s">
        <v>307</v>
      </c>
      <c r="J1" s="29" t="s">
        <v>308</v>
      </c>
      <c r="K1" s="29" t="s">
        <v>309</v>
      </c>
      <c r="L1" s="30"/>
      <c r="M1" s="28" t="s">
        <v>301</v>
      </c>
      <c r="N1" s="29" t="s">
        <v>302</v>
      </c>
      <c r="O1" s="29" t="s">
        <v>303</v>
      </c>
      <c r="P1" s="29" t="s">
        <v>304</v>
      </c>
      <c r="Q1" s="30"/>
      <c r="R1" s="28" t="s">
        <v>310</v>
      </c>
      <c r="S1" s="29" t="s">
        <v>311</v>
      </c>
      <c r="T1" s="29" t="s">
        <v>312</v>
      </c>
      <c r="U1" s="29" t="s">
        <v>313</v>
      </c>
      <c r="V1" s="30"/>
    </row>
    <row r="2" spans="1:22" x14ac:dyDescent="0.25">
      <c r="A2" t="s">
        <v>285</v>
      </c>
      <c r="B2" s="18" t="s">
        <v>264</v>
      </c>
      <c r="C2" s="18" t="s">
        <v>264</v>
      </c>
      <c r="D2" s="18">
        <v>160</v>
      </c>
      <c r="E2">
        <f t="shared" ref="E2:E26" ca="1" si="0">INDIRECT(CONCATENATE("'",C2,"'!N")&amp;(D2))</f>
        <v>308450405853.59998</v>
      </c>
      <c r="F2">
        <f t="shared" ref="F2:F26" ca="1" si="1">INDIRECT(CONCATENATE("'",C2,"'!O")&amp;(D2))</f>
        <v>0</v>
      </c>
      <c r="G2">
        <v>1</v>
      </c>
      <c r="H2" s="31" t="str">
        <f t="shared" ref="H2:H26" ca="1" si="2">IF(F2&lt;$I$29,"significant","non-significant")</f>
        <v>significant</v>
      </c>
      <c r="I2" s="32">
        <f t="shared" ref="I2:I26" si="3">$I$29*G2/$J$29</f>
        <v>4.0000000000000002E-4</v>
      </c>
      <c r="J2" s="32" t="str">
        <f t="shared" ref="J2:J26" ca="1" si="4">IF(F2&lt;I2,"significant","non-significant")</f>
        <v>significant</v>
      </c>
      <c r="K2" s="33">
        <f t="shared" ref="K2:K26" si="5">$I$29/($J$29+1-G2)</f>
        <v>4.0000000000000002E-4</v>
      </c>
      <c r="L2" s="34" t="str">
        <f t="shared" ref="L2:L26" ca="1" si="6">IF(F2&lt;K2,"significant","non-significant")</f>
        <v>significant</v>
      </c>
      <c r="M2" s="31" t="str">
        <f t="shared" ref="M2:M26" ca="1" si="7">IF(F2&lt;$N$29,"significant","non-significant")</f>
        <v>significant</v>
      </c>
      <c r="N2" s="32">
        <f t="shared" ref="N2:N26" si="8">$N$29*G2/$J$29</f>
        <v>2E-3</v>
      </c>
      <c r="O2" s="32" t="str">
        <f t="shared" ref="O2:O26" ca="1" si="9">IF(F2&lt;N2,"significant","non-significant")</f>
        <v>significant</v>
      </c>
      <c r="P2" s="33">
        <f t="shared" ref="P2:P26" si="10">$N$29/($J$29+1-G2)</f>
        <v>2E-3</v>
      </c>
      <c r="Q2" s="34" t="str">
        <f t="shared" ref="Q2:Q26" ca="1" si="11">IF(F2&lt;P2,"significant","non-significant")</f>
        <v>significant</v>
      </c>
      <c r="R2" s="31" t="str">
        <f t="shared" ref="R2:R26" ca="1" si="12">IF(F2&lt;$N$29,"significant","non-significant")</f>
        <v>significant</v>
      </c>
      <c r="S2" s="32">
        <f t="shared" ref="S2:S26" si="13">$S$29*G2/$J$29</f>
        <v>4.0000000000000001E-3</v>
      </c>
      <c r="T2" s="32" t="str">
        <f t="shared" ref="T2:T26" ca="1" si="14">IF(F2&lt;S2,"significant","non-significant")</f>
        <v>significant</v>
      </c>
      <c r="U2" s="33">
        <f t="shared" ref="U2:U26" si="15">$S$29/($J$29+1-G2)</f>
        <v>4.0000000000000001E-3</v>
      </c>
      <c r="V2" s="34" t="str">
        <f t="shared" ref="V2:V26" ca="1" si="16">IF(F2&lt;U2,"significant","non-significant")</f>
        <v>significant</v>
      </c>
    </row>
    <row r="3" spans="1:22" x14ac:dyDescent="0.25">
      <c r="A3" t="s">
        <v>249</v>
      </c>
      <c r="B3" s="18" t="s">
        <v>94</v>
      </c>
      <c r="C3" s="18" t="s">
        <v>117</v>
      </c>
      <c r="D3" s="18">
        <v>156</v>
      </c>
      <c r="E3">
        <f t="shared" ca="1" si="0"/>
        <v>37.651499999999999</v>
      </c>
      <c r="F3">
        <f t="shared" ca="1" si="1"/>
        <v>1E-3</v>
      </c>
      <c r="G3">
        <v>2</v>
      </c>
      <c r="H3" s="31" t="str">
        <f t="shared" ca="1" si="2"/>
        <v>significant</v>
      </c>
      <c r="I3" s="32">
        <f t="shared" si="3"/>
        <v>8.0000000000000004E-4</v>
      </c>
      <c r="J3" s="32" t="str">
        <f t="shared" ca="1" si="4"/>
        <v>non-significant</v>
      </c>
      <c r="K3" s="33">
        <f t="shared" si="5"/>
        <v>4.1666666666666669E-4</v>
      </c>
      <c r="L3" s="34" t="str">
        <f t="shared" ca="1" si="6"/>
        <v>non-significant</v>
      </c>
      <c r="M3" s="31" t="str">
        <f t="shared" ca="1" si="7"/>
        <v>significant</v>
      </c>
      <c r="N3" s="32">
        <f t="shared" si="8"/>
        <v>4.0000000000000001E-3</v>
      </c>
      <c r="O3" s="32" t="str">
        <f t="shared" ca="1" si="9"/>
        <v>significant</v>
      </c>
      <c r="P3" s="33">
        <f t="shared" si="10"/>
        <v>2.0833333333333333E-3</v>
      </c>
      <c r="Q3" s="34" t="str">
        <f t="shared" ca="1" si="11"/>
        <v>significant</v>
      </c>
      <c r="R3" s="31" t="str">
        <f t="shared" ca="1" si="12"/>
        <v>significant</v>
      </c>
      <c r="S3" s="32">
        <f t="shared" si="13"/>
        <v>8.0000000000000002E-3</v>
      </c>
      <c r="T3" s="32" t="str">
        <f t="shared" ca="1" si="14"/>
        <v>significant</v>
      </c>
      <c r="U3" s="33">
        <f t="shared" si="15"/>
        <v>4.1666666666666666E-3</v>
      </c>
      <c r="V3" s="34" t="str">
        <f t="shared" ca="1" si="16"/>
        <v>significant</v>
      </c>
    </row>
    <row r="4" spans="1:22" x14ac:dyDescent="0.25">
      <c r="A4" t="s">
        <v>252</v>
      </c>
      <c r="B4" s="18" t="s">
        <v>142</v>
      </c>
      <c r="C4" s="18" t="s">
        <v>142</v>
      </c>
      <c r="D4" s="18">
        <v>154</v>
      </c>
      <c r="E4">
        <f t="shared" ca="1" si="0"/>
        <v>24.1327</v>
      </c>
      <c r="F4">
        <f t="shared" ca="1" si="1"/>
        <v>4.1000000000000003E-3</v>
      </c>
      <c r="G4">
        <v>3</v>
      </c>
      <c r="H4" s="31" t="str">
        <f t="shared" ca="1" si="2"/>
        <v>significant</v>
      </c>
      <c r="I4" s="32">
        <f t="shared" si="3"/>
        <v>1.1999999999999999E-3</v>
      </c>
      <c r="J4" s="32" t="str">
        <f t="shared" ca="1" si="4"/>
        <v>non-significant</v>
      </c>
      <c r="K4" s="33">
        <f t="shared" si="5"/>
        <v>4.3478260869565219E-4</v>
      </c>
      <c r="L4" s="34" t="str">
        <f t="shared" ca="1" si="6"/>
        <v>non-significant</v>
      </c>
      <c r="M4" s="31" t="str">
        <f t="shared" ca="1" si="7"/>
        <v>significant</v>
      </c>
      <c r="N4" s="32">
        <f t="shared" si="8"/>
        <v>6.000000000000001E-3</v>
      </c>
      <c r="O4" s="32" t="str">
        <f t="shared" ca="1" si="9"/>
        <v>significant</v>
      </c>
      <c r="P4" s="33">
        <f t="shared" si="10"/>
        <v>2.1739130434782609E-3</v>
      </c>
      <c r="Q4" s="34" t="str">
        <f t="shared" ca="1" si="11"/>
        <v>non-significant</v>
      </c>
      <c r="R4" s="31" t="str">
        <f t="shared" ca="1" si="12"/>
        <v>significant</v>
      </c>
      <c r="S4" s="32">
        <f t="shared" si="13"/>
        <v>1.2000000000000002E-2</v>
      </c>
      <c r="T4" s="32" t="str">
        <f t="shared" ca="1" si="14"/>
        <v>significant</v>
      </c>
      <c r="U4" s="33">
        <f t="shared" si="15"/>
        <v>4.3478260869565218E-3</v>
      </c>
      <c r="V4" s="34" t="str">
        <f t="shared" ca="1" si="16"/>
        <v>significant</v>
      </c>
    </row>
    <row r="5" spans="1:22" ht="15" customHeight="1" x14ac:dyDescent="0.25">
      <c r="A5" t="s">
        <v>214</v>
      </c>
      <c r="B5" s="18" t="s">
        <v>209</v>
      </c>
      <c r="C5" s="18" t="s">
        <v>209</v>
      </c>
      <c r="D5" s="18">
        <v>202</v>
      </c>
      <c r="E5">
        <f t="shared" ca="1" si="0"/>
        <v>11.9086</v>
      </c>
      <c r="F5">
        <f t="shared" ca="1" si="1"/>
        <v>7.7000000000000002E-3</v>
      </c>
      <c r="G5">
        <v>4</v>
      </c>
      <c r="H5" s="31" t="str">
        <f t="shared" ca="1" si="2"/>
        <v>significant</v>
      </c>
      <c r="I5" s="32">
        <f t="shared" si="3"/>
        <v>1.6000000000000001E-3</v>
      </c>
      <c r="J5" s="32" t="str">
        <f t="shared" ca="1" si="4"/>
        <v>non-significant</v>
      </c>
      <c r="K5" s="33">
        <f t="shared" si="5"/>
        <v>4.5454545454545455E-4</v>
      </c>
      <c r="L5" s="34" t="str">
        <f t="shared" ca="1" si="6"/>
        <v>non-significant</v>
      </c>
      <c r="M5" s="31" t="str">
        <f t="shared" ca="1" si="7"/>
        <v>significant</v>
      </c>
      <c r="N5" s="32">
        <f t="shared" si="8"/>
        <v>8.0000000000000002E-3</v>
      </c>
      <c r="O5" s="32" t="str">
        <f t="shared" ca="1" si="9"/>
        <v>significant</v>
      </c>
      <c r="P5" s="33">
        <f t="shared" si="10"/>
        <v>2.2727272727272731E-3</v>
      </c>
      <c r="Q5" s="34" t="str">
        <f t="shared" ca="1" si="11"/>
        <v>non-significant</v>
      </c>
      <c r="R5" s="31" t="str">
        <f t="shared" ca="1" si="12"/>
        <v>significant</v>
      </c>
      <c r="S5" s="32">
        <f t="shared" si="13"/>
        <v>1.6E-2</v>
      </c>
      <c r="T5" s="32" t="str">
        <f t="shared" ca="1" si="14"/>
        <v>significant</v>
      </c>
      <c r="U5" s="33">
        <f t="shared" si="15"/>
        <v>4.5454545454545461E-3</v>
      </c>
      <c r="V5" s="34" t="str">
        <f t="shared" ca="1" si="16"/>
        <v>non-significant</v>
      </c>
    </row>
    <row r="6" spans="1:22" x14ac:dyDescent="0.25">
      <c r="A6" t="s">
        <v>253</v>
      </c>
      <c r="B6" s="18" t="s">
        <v>150</v>
      </c>
      <c r="C6" s="18" t="s">
        <v>150</v>
      </c>
      <c r="D6" s="18">
        <v>155</v>
      </c>
      <c r="E6">
        <f t="shared" ca="1" si="0"/>
        <v>24.761500000000002</v>
      </c>
      <c r="F6">
        <f t="shared" ca="1" si="1"/>
        <v>1.6E-2</v>
      </c>
      <c r="G6">
        <v>5</v>
      </c>
      <c r="H6" s="31" t="str">
        <f t="shared" ca="1" si="2"/>
        <v>non-significant</v>
      </c>
      <c r="I6" s="32">
        <f t="shared" si="3"/>
        <v>2E-3</v>
      </c>
      <c r="J6" s="32" t="str">
        <f t="shared" ca="1" si="4"/>
        <v>non-significant</v>
      </c>
      <c r="K6" s="33">
        <f t="shared" si="5"/>
        <v>4.7619047619047619E-4</v>
      </c>
      <c r="L6" s="34" t="str">
        <f t="shared" ca="1" si="6"/>
        <v>non-significant</v>
      </c>
      <c r="M6" s="31" t="str">
        <f t="shared" ca="1" si="7"/>
        <v>significant</v>
      </c>
      <c r="N6" s="32">
        <f t="shared" si="8"/>
        <v>0.01</v>
      </c>
      <c r="O6" s="32" t="str">
        <f t="shared" ca="1" si="9"/>
        <v>non-significant</v>
      </c>
      <c r="P6" s="33">
        <f t="shared" si="10"/>
        <v>2.3809523809523812E-3</v>
      </c>
      <c r="Q6" s="34" t="str">
        <f t="shared" ca="1" si="11"/>
        <v>non-significant</v>
      </c>
      <c r="R6" s="31" t="str">
        <f t="shared" ca="1" si="12"/>
        <v>significant</v>
      </c>
      <c r="S6" s="32">
        <f t="shared" si="13"/>
        <v>0.02</v>
      </c>
      <c r="T6" s="32" t="str">
        <f t="shared" ca="1" si="14"/>
        <v>significant</v>
      </c>
      <c r="U6" s="33">
        <f t="shared" si="15"/>
        <v>4.7619047619047623E-3</v>
      </c>
      <c r="V6" s="34" t="str">
        <f t="shared" ca="1" si="16"/>
        <v>non-significant</v>
      </c>
    </row>
    <row r="7" spans="1:22" x14ac:dyDescent="0.25">
      <c r="A7" t="s">
        <v>244</v>
      </c>
      <c r="B7" s="18" t="s">
        <v>234</v>
      </c>
      <c r="C7" s="18" t="s">
        <v>234</v>
      </c>
      <c r="D7" s="18">
        <v>152</v>
      </c>
      <c r="E7">
        <f t="shared" ca="1" si="0"/>
        <v>8.7581000000000007</v>
      </c>
      <c r="F7">
        <f t="shared" ca="1" si="1"/>
        <v>3.3000000000000002E-2</v>
      </c>
      <c r="G7">
        <v>6</v>
      </c>
      <c r="H7" s="31" t="str">
        <f t="shared" ca="1" si="2"/>
        <v>non-significant</v>
      </c>
      <c r="I7" s="32">
        <f t="shared" si="3"/>
        <v>2.3999999999999998E-3</v>
      </c>
      <c r="J7" s="32" t="str">
        <f t="shared" ca="1" si="4"/>
        <v>non-significant</v>
      </c>
      <c r="K7" s="33">
        <f t="shared" si="5"/>
        <v>5.0000000000000001E-4</v>
      </c>
      <c r="L7" s="34" t="str">
        <f t="shared" ca="1" si="6"/>
        <v>non-significant</v>
      </c>
      <c r="M7" s="31" t="str">
        <f t="shared" ca="1" si="7"/>
        <v>significant</v>
      </c>
      <c r="N7" s="32">
        <f t="shared" si="8"/>
        <v>1.2000000000000002E-2</v>
      </c>
      <c r="O7" s="32" t="str">
        <f t="shared" ca="1" si="9"/>
        <v>non-significant</v>
      </c>
      <c r="P7" s="33">
        <f t="shared" si="10"/>
        <v>2.5000000000000001E-3</v>
      </c>
      <c r="Q7" s="34" t="str">
        <f t="shared" ca="1" si="11"/>
        <v>non-significant</v>
      </c>
      <c r="R7" s="31" t="str">
        <f t="shared" ca="1" si="12"/>
        <v>significant</v>
      </c>
      <c r="S7" s="32">
        <f t="shared" si="13"/>
        <v>2.4000000000000004E-2</v>
      </c>
      <c r="T7" s="32" t="str">
        <f t="shared" ca="1" si="14"/>
        <v>non-significant</v>
      </c>
      <c r="U7" s="33">
        <f t="shared" si="15"/>
        <v>5.0000000000000001E-3</v>
      </c>
      <c r="V7" s="34" t="str">
        <f t="shared" ca="1" si="16"/>
        <v>non-significant</v>
      </c>
    </row>
    <row r="8" spans="1:22" x14ac:dyDescent="0.25">
      <c r="A8" t="s">
        <v>218</v>
      </c>
      <c r="B8" s="18" t="s">
        <v>176</v>
      </c>
      <c r="C8" s="18" t="s">
        <v>176</v>
      </c>
      <c r="D8" s="18">
        <v>152</v>
      </c>
      <c r="E8">
        <f t="shared" ca="1" si="0"/>
        <v>7.0484999999999998</v>
      </c>
      <c r="F8">
        <f t="shared" ca="1" si="1"/>
        <v>7.0000000000000007E-2</v>
      </c>
      <c r="G8">
        <v>7</v>
      </c>
      <c r="H8" s="31" t="str">
        <f t="shared" ca="1" si="2"/>
        <v>non-significant</v>
      </c>
      <c r="I8" s="32">
        <f t="shared" si="3"/>
        <v>2.8000000000000004E-3</v>
      </c>
      <c r="J8" s="32" t="str">
        <f t="shared" ca="1" si="4"/>
        <v>non-significant</v>
      </c>
      <c r="K8" s="33">
        <f t="shared" si="5"/>
        <v>5.263157894736842E-4</v>
      </c>
      <c r="L8" s="34" t="str">
        <f t="shared" ca="1" si="6"/>
        <v>non-significant</v>
      </c>
      <c r="M8" s="31" t="str">
        <f t="shared" ca="1" si="7"/>
        <v>non-significant</v>
      </c>
      <c r="N8" s="32">
        <f t="shared" si="8"/>
        <v>1.4000000000000002E-2</v>
      </c>
      <c r="O8" s="32" t="str">
        <f t="shared" ca="1" si="9"/>
        <v>non-significant</v>
      </c>
      <c r="P8" s="33">
        <f t="shared" si="10"/>
        <v>2.631578947368421E-3</v>
      </c>
      <c r="Q8" s="34" t="str">
        <f t="shared" ca="1" si="11"/>
        <v>non-significant</v>
      </c>
      <c r="R8" s="31" t="str">
        <f t="shared" ca="1" si="12"/>
        <v>non-significant</v>
      </c>
      <c r="S8" s="32">
        <f t="shared" si="13"/>
        <v>2.8000000000000004E-2</v>
      </c>
      <c r="T8" s="32" t="str">
        <f t="shared" ca="1" si="14"/>
        <v>non-significant</v>
      </c>
      <c r="U8" s="33">
        <f t="shared" si="15"/>
        <v>5.263157894736842E-3</v>
      </c>
      <c r="V8" s="34" t="str">
        <f t="shared" ca="1" si="16"/>
        <v>non-significant</v>
      </c>
    </row>
    <row r="9" spans="1:22" x14ac:dyDescent="0.25">
      <c r="A9" t="s">
        <v>215</v>
      </c>
      <c r="B9" s="18" t="s">
        <v>207</v>
      </c>
      <c r="C9" s="18" t="s">
        <v>207</v>
      </c>
      <c r="D9" s="18">
        <v>152</v>
      </c>
      <c r="E9">
        <f t="shared" ca="1" si="0"/>
        <v>6.9705000000000004</v>
      </c>
      <c r="F9">
        <f t="shared" ca="1" si="1"/>
        <v>7.2999999999999995E-2</v>
      </c>
      <c r="G9">
        <v>8</v>
      </c>
      <c r="H9" s="31" t="str">
        <f t="shared" ca="1" si="2"/>
        <v>non-significant</v>
      </c>
      <c r="I9" s="32">
        <f t="shared" si="3"/>
        <v>3.2000000000000002E-3</v>
      </c>
      <c r="J9" s="32" t="str">
        <f t="shared" ca="1" si="4"/>
        <v>non-significant</v>
      </c>
      <c r="K9" s="33">
        <f t="shared" si="5"/>
        <v>5.5555555555555556E-4</v>
      </c>
      <c r="L9" s="34" t="str">
        <f t="shared" ca="1" si="6"/>
        <v>non-significant</v>
      </c>
      <c r="M9" s="31" t="str">
        <f t="shared" ca="1" si="7"/>
        <v>non-significant</v>
      </c>
      <c r="N9" s="32">
        <f t="shared" si="8"/>
        <v>1.6E-2</v>
      </c>
      <c r="O9" s="32" t="str">
        <f t="shared" ca="1" si="9"/>
        <v>non-significant</v>
      </c>
      <c r="P9" s="33">
        <f t="shared" si="10"/>
        <v>2.7777777777777779E-3</v>
      </c>
      <c r="Q9" s="34" t="str">
        <f t="shared" ca="1" si="11"/>
        <v>non-significant</v>
      </c>
      <c r="R9" s="31" t="str">
        <f t="shared" ca="1" si="12"/>
        <v>non-significant</v>
      </c>
      <c r="S9" s="32">
        <f t="shared" si="13"/>
        <v>3.2000000000000001E-2</v>
      </c>
      <c r="T9" s="32" t="str">
        <f t="shared" ca="1" si="14"/>
        <v>non-significant</v>
      </c>
      <c r="U9" s="33">
        <f t="shared" si="15"/>
        <v>5.5555555555555558E-3</v>
      </c>
      <c r="V9" s="34" t="str">
        <f t="shared" ca="1" si="16"/>
        <v>non-significant</v>
      </c>
    </row>
    <row r="10" spans="1:22" x14ac:dyDescent="0.25">
      <c r="A10" t="s">
        <v>224</v>
      </c>
      <c r="B10" s="18" t="s">
        <v>211</v>
      </c>
      <c r="C10" s="18" t="s">
        <v>211</v>
      </c>
      <c r="D10" s="18">
        <v>170</v>
      </c>
      <c r="E10">
        <f t="shared" ca="1" si="0"/>
        <v>6.8201999999999998</v>
      </c>
      <c r="F10">
        <f t="shared" ca="1" si="1"/>
        <v>7.8E-2</v>
      </c>
      <c r="G10">
        <v>9</v>
      </c>
      <c r="H10" s="31" t="str">
        <f t="shared" ca="1" si="2"/>
        <v>non-significant</v>
      </c>
      <c r="I10" s="32">
        <f t="shared" si="3"/>
        <v>3.5999999999999999E-3</v>
      </c>
      <c r="J10" s="32" t="str">
        <f t="shared" ca="1" si="4"/>
        <v>non-significant</v>
      </c>
      <c r="K10" s="33">
        <f t="shared" si="5"/>
        <v>5.8823529411764712E-4</v>
      </c>
      <c r="L10" s="34" t="str">
        <f t="shared" ca="1" si="6"/>
        <v>non-significant</v>
      </c>
      <c r="M10" s="31" t="str">
        <f t="shared" ca="1" si="7"/>
        <v>non-significant</v>
      </c>
      <c r="N10" s="32">
        <f t="shared" si="8"/>
        <v>1.8000000000000002E-2</v>
      </c>
      <c r="O10" s="32" t="str">
        <f t="shared" ca="1" si="9"/>
        <v>non-significant</v>
      </c>
      <c r="P10" s="33">
        <f t="shared" si="10"/>
        <v>2.9411764705882353E-3</v>
      </c>
      <c r="Q10" s="34" t="str">
        <f t="shared" ca="1" si="11"/>
        <v>non-significant</v>
      </c>
      <c r="R10" s="31" t="str">
        <f t="shared" ca="1" si="12"/>
        <v>non-significant</v>
      </c>
      <c r="S10" s="32">
        <f t="shared" si="13"/>
        <v>3.6000000000000004E-2</v>
      </c>
      <c r="T10" s="32" t="str">
        <f t="shared" ca="1" si="14"/>
        <v>non-significant</v>
      </c>
      <c r="U10" s="33">
        <f t="shared" si="15"/>
        <v>5.8823529411764705E-3</v>
      </c>
      <c r="V10" s="34" t="str">
        <f t="shared" ca="1" si="16"/>
        <v>non-significant</v>
      </c>
    </row>
    <row r="11" spans="1:22" x14ac:dyDescent="0.25">
      <c r="A11" t="s">
        <v>254</v>
      </c>
      <c r="B11" s="18" t="s">
        <v>158</v>
      </c>
      <c r="C11" s="18" t="s">
        <v>158</v>
      </c>
      <c r="D11" s="18">
        <v>154</v>
      </c>
      <c r="E11">
        <f t="shared" ca="1" si="0"/>
        <v>15.346299999999999</v>
      </c>
      <c r="F11">
        <f t="shared" ca="1" si="1"/>
        <v>8.2000000000000003E-2</v>
      </c>
      <c r="G11">
        <v>10</v>
      </c>
      <c r="H11" s="31" t="str">
        <f t="shared" ca="1" si="2"/>
        <v>non-significant</v>
      </c>
      <c r="I11" s="32">
        <f t="shared" si="3"/>
        <v>4.0000000000000001E-3</v>
      </c>
      <c r="J11" s="32" t="str">
        <f t="shared" ca="1" si="4"/>
        <v>non-significant</v>
      </c>
      <c r="K11" s="33">
        <f t="shared" si="5"/>
        <v>6.2500000000000001E-4</v>
      </c>
      <c r="L11" s="34" t="str">
        <f t="shared" ca="1" si="6"/>
        <v>non-significant</v>
      </c>
      <c r="M11" s="31" t="str">
        <f t="shared" ca="1" si="7"/>
        <v>non-significant</v>
      </c>
      <c r="N11" s="32">
        <f t="shared" si="8"/>
        <v>0.02</v>
      </c>
      <c r="O11" s="32" t="str">
        <f t="shared" ca="1" si="9"/>
        <v>non-significant</v>
      </c>
      <c r="P11" s="33">
        <f t="shared" si="10"/>
        <v>3.1250000000000002E-3</v>
      </c>
      <c r="Q11" s="34" t="str">
        <f t="shared" ca="1" si="11"/>
        <v>non-significant</v>
      </c>
      <c r="R11" s="31" t="str">
        <f t="shared" ca="1" si="12"/>
        <v>non-significant</v>
      </c>
      <c r="S11" s="32">
        <f t="shared" si="13"/>
        <v>0.04</v>
      </c>
      <c r="T11" s="32" t="str">
        <f t="shared" ca="1" si="14"/>
        <v>non-significant</v>
      </c>
      <c r="U11" s="33">
        <f t="shared" si="15"/>
        <v>6.2500000000000003E-3</v>
      </c>
      <c r="V11" s="34" t="str">
        <f t="shared" ca="1" si="16"/>
        <v>non-significant</v>
      </c>
    </row>
    <row r="12" spans="1:22" x14ac:dyDescent="0.25">
      <c r="A12" t="s">
        <v>250</v>
      </c>
      <c r="B12" s="18" t="s">
        <v>132</v>
      </c>
      <c r="C12" s="18" t="s">
        <v>132</v>
      </c>
      <c r="D12" s="18">
        <v>186</v>
      </c>
      <c r="E12">
        <f t="shared" ca="1" si="0"/>
        <v>5.6181000000000001</v>
      </c>
      <c r="F12">
        <f t="shared" ca="1" si="1"/>
        <v>0.13</v>
      </c>
      <c r="G12">
        <v>11</v>
      </c>
      <c r="H12" s="31" t="str">
        <f t="shared" ca="1" si="2"/>
        <v>non-significant</v>
      </c>
      <c r="I12" s="32">
        <f t="shared" si="3"/>
        <v>4.4000000000000003E-3</v>
      </c>
      <c r="J12" s="32" t="str">
        <f t="shared" ca="1" si="4"/>
        <v>non-significant</v>
      </c>
      <c r="K12" s="33">
        <f t="shared" si="5"/>
        <v>6.6666666666666664E-4</v>
      </c>
      <c r="L12" s="34" t="str">
        <f t="shared" ca="1" si="6"/>
        <v>non-significant</v>
      </c>
      <c r="M12" s="31" t="str">
        <f t="shared" ca="1" si="7"/>
        <v>non-significant</v>
      </c>
      <c r="N12" s="32">
        <f t="shared" si="8"/>
        <v>2.2000000000000002E-2</v>
      </c>
      <c r="O12" s="32" t="str">
        <f t="shared" ca="1" si="9"/>
        <v>non-significant</v>
      </c>
      <c r="P12" s="33">
        <f t="shared" si="10"/>
        <v>3.3333333333333335E-3</v>
      </c>
      <c r="Q12" s="34" t="str">
        <f t="shared" ca="1" si="11"/>
        <v>non-significant</v>
      </c>
      <c r="R12" s="31" t="str">
        <f t="shared" ca="1" si="12"/>
        <v>non-significant</v>
      </c>
      <c r="S12" s="32">
        <f t="shared" si="13"/>
        <v>4.4000000000000004E-2</v>
      </c>
      <c r="T12" s="32" t="str">
        <f t="shared" ca="1" si="14"/>
        <v>non-significant</v>
      </c>
      <c r="U12" s="33">
        <f t="shared" si="15"/>
        <v>6.6666666666666671E-3</v>
      </c>
      <c r="V12" s="34" t="str">
        <f t="shared" ca="1" si="16"/>
        <v>non-significant</v>
      </c>
    </row>
    <row r="13" spans="1:22" x14ac:dyDescent="0.25">
      <c r="A13" t="s">
        <v>243</v>
      </c>
      <c r="B13" s="18" t="s">
        <v>235</v>
      </c>
      <c r="C13" s="18" t="s">
        <v>235</v>
      </c>
      <c r="D13" s="18">
        <v>154</v>
      </c>
      <c r="E13">
        <f t="shared" ca="1" si="0"/>
        <v>13.913399999999999</v>
      </c>
      <c r="F13">
        <f t="shared" ca="1" si="1"/>
        <v>0.13</v>
      </c>
      <c r="G13">
        <v>12</v>
      </c>
      <c r="H13" s="31" t="str">
        <f t="shared" ca="1" si="2"/>
        <v>non-significant</v>
      </c>
      <c r="I13" s="32">
        <f t="shared" si="3"/>
        <v>4.7999999999999996E-3</v>
      </c>
      <c r="J13" s="32" t="str">
        <f t="shared" ca="1" si="4"/>
        <v>non-significant</v>
      </c>
      <c r="K13" s="33">
        <f t="shared" si="5"/>
        <v>7.1428571428571429E-4</v>
      </c>
      <c r="L13" s="34" t="str">
        <f t="shared" ca="1" si="6"/>
        <v>non-significant</v>
      </c>
      <c r="M13" s="31" t="str">
        <f t="shared" ca="1" si="7"/>
        <v>non-significant</v>
      </c>
      <c r="N13" s="32">
        <f t="shared" si="8"/>
        <v>2.4000000000000004E-2</v>
      </c>
      <c r="O13" s="32" t="str">
        <f t="shared" ca="1" si="9"/>
        <v>non-significant</v>
      </c>
      <c r="P13" s="33">
        <f t="shared" si="10"/>
        <v>3.5714285714285718E-3</v>
      </c>
      <c r="Q13" s="34" t="str">
        <f t="shared" ca="1" si="11"/>
        <v>non-significant</v>
      </c>
      <c r="R13" s="31" t="str">
        <f t="shared" ca="1" si="12"/>
        <v>non-significant</v>
      </c>
      <c r="S13" s="32">
        <f t="shared" si="13"/>
        <v>4.8000000000000008E-2</v>
      </c>
      <c r="T13" s="32" t="str">
        <f t="shared" ca="1" si="14"/>
        <v>non-significant</v>
      </c>
      <c r="U13" s="33">
        <f t="shared" si="15"/>
        <v>7.1428571428571435E-3</v>
      </c>
      <c r="V13" s="34" t="str">
        <f t="shared" ca="1" si="16"/>
        <v>non-significant</v>
      </c>
    </row>
    <row r="14" spans="1:22" x14ac:dyDescent="0.25">
      <c r="A14" t="s">
        <v>223</v>
      </c>
      <c r="B14" s="18" t="s">
        <v>182</v>
      </c>
      <c r="C14" s="18" t="s">
        <v>182</v>
      </c>
      <c r="D14" s="18">
        <v>153</v>
      </c>
      <c r="E14">
        <f t="shared" ca="1" si="0"/>
        <v>8.9131</v>
      </c>
      <c r="F14">
        <f t="shared" ca="1" si="1"/>
        <v>0.18</v>
      </c>
      <c r="G14">
        <v>13</v>
      </c>
      <c r="H14" s="31" t="str">
        <f t="shared" ca="1" si="2"/>
        <v>non-significant</v>
      </c>
      <c r="I14" s="32">
        <f t="shared" si="3"/>
        <v>5.1999999999999998E-3</v>
      </c>
      <c r="J14" s="32" t="str">
        <f t="shared" ca="1" si="4"/>
        <v>non-significant</v>
      </c>
      <c r="K14" s="33">
        <f t="shared" si="5"/>
        <v>7.6923076923076923E-4</v>
      </c>
      <c r="L14" s="34" t="str">
        <f t="shared" ca="1" si="6"/>
        <v>non-significant</v>
      </c>
      <c r="M14" s="31" t="str">
        <f t="shared" ca="1" si="7"/>
        <v>non-significant</v>
      </c>
      <c r="N14" s="32">
        <f t="shared" si="8"/>
        <v>2.6000000000000002E-2</v>
      </c>
      <c r="O14" s="32" t="str">
        <f t="shared" ca="1" si="9"/>
        <v>non-significant</v>
      </c>
      <c r="P14" s="33">
        <f t="shared" si="10"/>
        <v>3.8461538461538464E-3</v>
      </c>
      <c r="Q14" s="34" t="str">
        <f t="shared" ca="1" si="11"/>
        <v>non-significant</v>
      </c>
      <c r="R14" s="31" t="str">
        <f t="shared" ca="1" si="12"/>
        <v>non-significant</v>
      </c>
      <c r="S14" s="32">
        <f t="shared" si="13"/>
        <v>5.2000000000000005E-2</v>
      </c>
      <c r="T14" s="32" t="str">
        <f t="shared" ca="1" si="14"/>
        <v>non-significant</v>
      </c>
      <c r="U14" s="33">
        <f t="shared" si="15"/>
        <v>7.6923076923076927E-3</v>
      </c>
      <c r="V14" s="34" t="str">
        <f t="shared" ca="1" si="16"/>
        <v>non-significant</v>
      </c>
    </row>
    <row r="15" spans="1:22" x14ac:dyDescent="0.25">
      <c r="A15" t="s">
        <v>222</v>
      </c>
      <c r="B15" s="18" t="s">
        <v>186</v>
      </c>
      <c r="C15" s="18" t="s">
        <v>186</v>
      </c>
      <c r="D15" s="18">
        <v>152</v>
      </c>
      <c r="E15">
        <f t="shared" ca="1" si="0"/>
        <v>4.2283999999999997</v>
      </c>
      <c r="F15">
        <f t="shared" ca="1" si="1"/>
        <v>0.24</v>
      </c>
      <c r="G15">
        <v>14</v>
      </c>
      <c r="H15" s="31" t="str">
        <f t="shared" ca="1" si="2"/>
        <v>non-significant</v>
      </c>
      <c r="I15" s="32">
        <f t="shared" si="3"/>
        <v>5.6000000000000008E-3</v>
      </c>
      <c r="J15" s="32" t="str">
        <f t="shared" ca="1" si="4"/>
        <v>non-significant</v>
      </c>
      <c r="K15" s="33">
        <f t="shared" si="5"/>
        <v>8.3333333333333339E-4</v>
      </c>
      <c r="L15" s="34" t="str">
        <f t="shared" ca="1" si="6"/>
        <v>non-significant</v>
      </c>
      <c r="M15" s="31" t="str">
        <f t="shared" ca="1" si="7"/>
        <v>non-significant</v>
      </c>
      <c r="N15" s="32">
        <f t="shared" si="8"/>
        <v>2.8000000000000004E-2</v>
      </c>
      <c r="O15" s="32" t="str">
        <f t="shared" ca="1" si="9"/>
        <v>non-significant</v>
      </c>
      <c r="P15" s="33">
        <f t="shared" si="10"/>
        <v>4.1666666666666666E-3</v>
      </c>
      <c r="Q15" s="34" t="str">
        <f t="shared" ca="1" si="11"/>
        <v>non-significant</v>
      </c>
      <c r="R15" s="31" t="str">
        <f t="shared" ca="1" si="12"/>
        <v>non-significant</v>
      </c>
      <c r="S15" s="32">
        <f t="shared" si="13"/>
        <v>5.6000000000000008E-2</v>
      </c>
      <c r="T15" s="32" t="str">
        <f t="shared" ca="1" si="14"/>
        <v>non-significant</v>
      </c>
      <c r="U15" s="33">
        <f t="shared" si="15"/>
        <v>8.3333333333333332E-3</v>
      </c>
      <c r="V15" s="34" t="str">
        <f t="shared" ca="1" si="16"/>
        <v>non-significant</v>
      </c>
    </row>
    <row r="16" spans="1:22" x14ac:dyDescent="0.25">
      <c r="A16" t="s">
        <v>221</v>
      </c>
      <c r="B16" s="18" t="s">
        <v>190</v>
      </c>
      <c r="C16" s="18" t="s">
        <v>190</v>
      </c>
      <c r="D16" s="18">
        <v>153</v>
      </c>
      <c r="E16">
        <f t="shared" ca="1" si="0"/>
        <v>6.7130000000000001</v>
      </c>
      <c r="F16">
        <f t="shared" ca="1" si="1"/>
        <v>0.35</v>
      </c>
      <c r="G16">
        <v>15</v>
      </c>
      <c r="H16" s="31" t="str">
        <f t="shared" ca="1" si="2"/>
        <v>non-significant</v>
      </c>
      <c r="I16" s="32">
        <f t="shared" si="3"/>
        <v>6.0000000000000001E-3</v>
      </c>
      <c r="J16" s="32" t="str">
        <f t="shared" ca="1" si="4"/>
        <v>non-significant</v>
      </c>
      <c r="K16" s="33">
        <f t="shared" si="5"/>
        <v>9.0909090909090909E-4</v>
      </c>
      <c r="L16" s="34" t="str">
        <f t="shared" ca="1" si="6"/>
        <v>non-significant</v>
      </c>
      <c r="M16" s="31" t="str">
        <f t="shared" ca="1" si="7"/>
        <v>non-significant</v>
      </c>
      <c r="N16" s="32">
        <f t="shared" si="8"/>
        <v>0.03</v>
      </c>
      <c r="O16" s="32" t="str">
        <f t="shared" ca="1" si="9"/>
        <v>non-significant</v>
      </c>
      <c r="P16" s="33">
        <f t="shared" si="10"/>
        <v>4.5454545454545461E-3</v>
      </c>
      <c r="Q16" s="34" t="str">
        <f t="shared" ca="1" si="11"/>
        <v>non-significant</v>
      </c>
      <c r="R16" s="31" t="str">
        <f t="shared" ca="1" si="12"/>
        <v>non-significant</v>
      </c>
      <c r="S16" s="32">
        <f t="shared" si="13"/>
        <v>0.06</v>
      </c>
      <c r="T16" s="32" t="str">
        <f t="shared" ca="1" si="14"/>
        <v>non-significant</v>
      </c>
      <c r="U16" s="33">
        <f t="shared" si="15"/>
        <v>9.0909090909090922E-3</v>
      </c>
      <c r="V16" s="34" t="str">
        <f t="shared" ca="1" si="16"/>
        <v>non-significant</v>
      </c>
    </row>
    <row r="17" spans="1:22" x14ac:dyDescent="0.25">
      <c r="A17" t="s">
        <v>261</v>
      </c>
      <c r="B17" s="18" t="s">
        <v>258</v>
      </c>
      <c r="C17" s="18" t="s">
        <v>258</v>
      </c>
      <c r="D17" s="18">
        <v>152</v>
      </c>
      <c r="E17">
        <f t="shared" ca="1" si="0"/>
        <v>3.0007999999999999</v>
      </c>
      <c r="F17">
        <f t="shared" ca="1" si="1"/>
        <v>0.39</v>
      </c>
      <c r="G17">
        <v>16</v>
      </c>
      <c r="H17" s="31" t="str">
        <f t="shared" ca="1" si="2"/>
        <v>non-significant</v>
      </c>
      <c r="I17" s="32">
        <f t="shared" si="3"/>
        <v>6.4000000000000003E-3</v>
      </c>
      <c r="J17" s="32" t="str">
        <f t="shared" ca="1" si="4"/>
        <v>non-significant</v>
      </c>
      <c r="K17" s="33">
        <f t="shared" si="5"/>
        <v>1E-3</v>
      </c>
      <c r="L17" s="34" t="str">
        <f t="shared" ca="1" si="6"/>
        <v>non-significant</v>
      </c>
      <c r="M17" s="31" t="str">
        <f t="shared" ca="1" si="7"/>
        <v>non-significant</v>
      </c>
      <c r="N17" s="32">
        <f t="shared" si="8"/>
        <v>3.2000000000000001E-2</v>
      </c>
      <c r="O17" s="32" t="str">
        <f t="shared" ca="1" si="9"/>
        <v>non-significant</v>
      </c>
      <c r="P17" s="33">
        <f t="shared" si="10"/>
        <v>5.0000000000000001E-3</v>
      </c>
      <c r="Q17" s="34" t="str">
        <f t="shared" ca="1" si="11"/>
        <v>non-significant</v>
      </c>
      <c r="R17" s="31" t="str">
        <f t="shared" ca="1" si="12"/>
        <v>non-significant</v>
      </c>
      <c r="S17" s="32">
        <f t="shared" si="13"/>
        <v>6.4000000000000001E-2</v>
      </c>
      <c r="T17" s="32" t="str">
        <f t="shared" ca="1" si="14"/>
        <v>non-significant</v>
      </c>
      <c r="U17" s="33">
        <f t="shared" si="15"/>
        <v>0.01</v>
      </c>
      <c r="V17" s="34" t="str">
        <f t="shared" ca="1" si="16"/>
        <v>non-significant</v>
      </c>
    </row>
    <row r="18" spans="1:22" x14ac:dyDescent="0.25">
      <c r="A18" t="s">
        <v>220</v>
      </c>
      <c r="B18" s="18" t="s">
        <v>196</v>
      </c>
      <c r="C18" s="18" t="s">
        <v>196</v>
      </c>
      <c r="D18" s="18">
        <v>170</v>
      </c>
      <c r="E18">
        <f t="shared" ca="1" si="0"/>
        <v>2.5442</v>
      </c>
      <c r="F18">
        <f t="shared" ca="1" si="1"/>
        <v>0.47</v>
      </c>
      <c r="G18">
        <v>17</v>
      </c>
      <c r="H18" s="31" t="str">
        <f t="shared" ca="1" si="2"/>
        <v>non-significant</v>
      </c>
      <c r="I18" s="32">
        <f t="shared" si="3"/>
        <v>6.8000000000000005E-3</v>
      </c>
      <c r="J18" s="32" t="str">
        <f t="shared" ca="1" si="4"/>
        <v>non-significant</v>
      </c>
      <c r="K18" s="33">
        <f t="shared" si="5"/>
        <v>1.1111111111111111E-3</v>
      </c>
      <c r="L18" s="34" t="str">
        <f t="shared" ca="1" si="6"/>
        <v>non-significant</v>
      </c>
      <c r="M18" s="31" t="str">
        <f t="shared" ca="1" si="7"/>
        <v>non-significant</v>
      </c>
      <c r="N18" s="32">
        <f t="shared" si="8"/>
        <v>3.4000000000000002E-2</v>
      </c>
      <c r="O18" s="32" t="str">
        <f t="shared" ca="1" si="9"/>
        <v>non-significant</v>
      </c>
      <c r="P18" s="33">
        <f t="shared" si="10"/>
        <v>5.5555555555555558E-3</v>
      </c>
      <c r="Q18" s="34" t="str">
        <f t="shared" ca="1" si="11"/>
        <v>non-significant</v>
      </c>
      <c r="R18" s="31" t="str">
        <f t="shared" ca="1" si="12"/>
        <v>non-significant</v>
      </c>
      <c r="S18" s="32">
        <f t="shared" si="13"/>
        <v>6.8000000000000005E-2</v>
      </c>
      <c r="T18" s="32" t="str">
        <f t="shared" ca="1" si="14"/>
        <v>non-significant</v>
      </c>
      <c r="U18" s="33">
        <f t="shared" si="15"/>
        <v>1.1111111111111112E-2</v>
      </c>
      <c r="V18" s="34" t="str">
        <f t="shared" ca="1" si="16"/>
        <v>non-significant</v>
      </c>
    </row>
    <row r="19" spans="1:22" x14ac:dyDescent="0.25">
      <c r="A19" t="s">
        <v>213</v>
      </c>
      <c r="B19" s="18" t="s">
        <v>231</v>
      </c>
      <c r="C19" s="18" t="s">
        <v>231</v>
      </c>
      <c r="D19" s="18">
        <v>152</v>
      </c>
      <c r="E19">
        <f t="shared" ca="1" si="0"/>
        <v>2.3264999999999998</v>
      </c>
      <c r="F19">
        <f t="shared" ca="1" si="1"/>
        <v>0.51</v>
      </c>
      <c r="G19">
        <v>18</v>
      </c>
      <c r="H19" s="31" t="str">
        <f t="shared" ca="1" si="2"/>
        <v>non-significant</v>
      </c>
      <c r="I19" s="32">
        <f t="shared" si="3"/>
        <v>7.1999999999999998E-3</v>
      </c>
      <c r="J19" s="32" t="str">
        <f t="shared" ca="1" si="4"/>
        <v>non-significant</v>
      </c>
      <c r="K19" s="33">
        <f t="shared" si="5"/>
        <v>1.25E-3</v>
      </c>
      <c r="L19" s="34" t="str">
        <f t="shared" ca="1" si="6"/>
        <v>non-significant</v>
      </c>
      <c r="M19" s="31" t="str">
        <f t="shared" ca="1" si="7"/>
        <v>non-significant</v>
      </c>
      <c r="N19" s="32">
        <f t="shared" si="8"/>
        <v>3.6000000000000004E-2</v>
      </c>
      <c r="O19" s="32" t="str">
        <f t="shared" ca="1" si="9"/>
        <v>non-significant</v>
      </c>
      <c r="P19" s="33">
        <f t="shared" si="10"/>
        <v>6.2500000000000003E-3</v>
      </c>
      <c r="Q19" s="34" t="str">
        <f t="shared" ca="1" si="11"/>
        <v>non-significant</v>
      </c>
      <c r="R19" s="31" t="str">
        <f t="shared" ca="1" si="12"/>
        <v>non-significant</v>
      </c>
      <c r="S19" s="32">
        <f t="shared" si="13"/>
        <v>7.2000000000000008E-2</v>
      </c>
      <c r="T19" s="32" t="str">
        <f t="shared" ca="1" si="14"/>
        <v>non-significant</v>
      </c>
      <c r="U19" s="33">
        <f t="shared" si="15"/>
        <v>1.2500000000000001E-2</v>
      </c>
      <c r="V19" s="34" t="str">
        <f t="shared" ca="1" si="16"/>
        <v>non-significant</v>
      </c>
    </row>
    <row r="20" spans="1:22" x14ac:dyDescent="0.25">
      <c r="A20" t="s">
        <v>217</v>
      </c>
      <c r="B20" s="18" t="s">
        <v>178</v>
      </c>
      <c r="C20" s="18" t="s">
        <v>178</v>
      </c>
      <c r="D20" s="18">
        <v>152</v>
      </c>
      <c r="E20">
        <f t="shared" ca="1" si="0"/>
        <v>2.2221000000000002</v>
      </c>
      <c r="F20">
        <f t="shared" ca="1" si="1"/>
        <v>0.53</v>
      </c>
      <c r="G20">
        <v>19</v>
      </c>
      <c r="H20" s="31" t="str">
        <f t="shared" ca="1" si="2"/>
        <v>non-significant</v>
      </c>
      <c r="I20" s="32">
        <f t="shared" si="3"/>
        <v>7.6E-3</v>
      </c>
      <c r="J20" s="32" t="str">
        <f t="shared" ca="1" si="4"/>
        <v>non-significant</v>
      </c>
      <c r="K20" s="33">
        <f t="shared" si="5"/>
        <v>1.4285714285714286E-3</v>
      </c>
      <c r="L20" s="34" t="str">
        <f t="shared" ca="1" si="6"/>
        <v>non-significant</v>
      </c>
      <c r="M20" s="31" t="str">
        <f t="shared" ca="1" si="7"/>
        <v>non-significant</v>
      </c>
      <c r="N20" s="32">
        <f t="shared" si="8"/>
        <v>3.8000000000000006E-2</v>
      </c>
      <c r="O20" s="32" t="str">
        <f t="shared" ca="1" si="9"/>
        <v>non-significant</v>
      </c>
      <c r="P20" s="33">
        <f t="shared" si="10"/>
        <v>7.1428571428571435E-3</v>
      </c>
      <c r="Q20" s="34" t="str">
        <f t="shared" ca="1" si="11"/>
        <v>non-significant</v>
      </c>
      <c r="R20" s="31" t="str">
        <f t="shared" ca="1" si="12"/>
        <v>non-significant</v>
      </c>
      <c r="S20" s="32">
        <f t="shared" si="13"/>
        <v>7.6000000000000012E-2</v>
      </c>
      <c r="T20" s="32" t="str">
        <f t="shared" ca="1" si="14"/>
        <v>non-significant</v>
      </c>
      <c r="U20" s="33">
        <f t="shared" si="15"/>
        <v>1.4285714285714287E-2</v>
      </c>
      <c r="V20" s="34" t="str">
        <f t="shared" ca="1" si="16"/>
        <v>non-significant</v>
      </c>
    </row>
    <row r="21" spans="1:22" x14ac:dyDescent="0.25">
      <c r="A21" t="s">
        <v>212</v>
      </c>
      <c r="B21" s="18" t="s">
        <v>230</v>
      </c>
      <c r="C21" s="18" t="s">
        <v>230</v>
      </c>
      <c r="D21" s="18">
        <v>167</v>
      </c>
      <c r="E21">
        <f t="shared" ca="1" si="0"/>
        <v>1.5143</v>
      </c>
      <c r="F21">
        <f t="shared" ca="1" si="1"/>
        <v>0.68</v>
      </c>
      <c r="G21">
        <v>20</v>
      </c>
      <c r="H21" s="31" t="str">
        <f t="shared" ca="1" si="2"/>
        <v>non-significant</v>
      </c>
      <c r="I21" s="32">
        <f t="shared" si="3"/>
        <v>8.0000000000000002E-3</v>
      </c>
      <c r="J21" s="32" t="str">
        <f t="shared" ca="1" si="4"/>
        <v>non-significant</v>
      </c>
      <c r="K21" s="33">
        <f t="shared" si="5"/>
        <v>1.6666666666666668E-3</v>
      </c>
      <c r="L21" s="34" t="str">
        <f t="shared" ca="1" si="6"/>
        <v>non-significant</v>
      </c>
      <c r="M21" s="31" t="str">
        <f t="shared" ca="1" si="7"/>
        <v>non-significant</v>
      </c>
      <c r="N21" s="32">
        <f t="shared" si="8"/>
        <v>0.04</v>
      </c>
      <c r="O21" s="32" t="str">
        <f t="shared" ca="1" si="9"/>
        <v>non-significant</v>
      </c>
      <c r="P21" s="33">
        <f t="shared" si="10"/>
        <v>8.3333333333333332E-3</v>
      </c>
      <c r="Q21" s="34" t="str">
        <f t="shared" ca="1" si="11"/>
        <v>non-significant</v>
      </c>
      <c r="R21" s="31" t="str">
        <f t="shared" ca="1" si="12"/>
        <v>non-significant</v>
      </c>
      <c r="S21" s="32">
        <f t="shared" si="13"/>
        <v>0.08</v>
      </c>
      <c r="T21" s="32" t="str">
        <f t="shared" ca="1" si="14"/>
        <v>non-significant</v>
      </c>
      <c r="U21" s="33">
        <f t="shared" si="15"/>
        <v>1.6666666666666666E-2</v>
      </c>
      <c r="V21" s="34" t="str">
        <f t="shared" ca="1" si="16"/>
        <v>non-significant</v>
      </c>
    </row>
    <row r="22" spans="1:22" x14ac:dyDescent="0.25">
      <c r="A22" t="s">
        <v>242</v>
      </c>
      <c r="B22" s="18" t="s">
        <v>241</v>
      </c>
      <c r="C22" s="18" t="s">
        <v>241</v>
      </c>
      <c r="D22" s="18">
        <v>152</v>
      </c>
      <c r="E22">
        <f t="shared" ca="1" si="0"/>
        <v>1.2341</v>
      </c>
      <c r="F22">
        <f t="shared" ca="1" si="1"/>
        <v>0.74</v>
      </c>
      <c r="G22">
        <v>21</v>
      </c>
      <c r="H22" s="31" t="str">
        <f t="shared" ca="1" si="2"/>
        <v>non-significant</v>
      </c>
      <c r="I22" s="32">
        <f t="shared" si="3"/>
        <v>8.3999999999999995E-3</v>
      </c>
      <c r="J22" s="32" t="str">
        <f t="shared" ca="1" si="4"/>
        <v>non-significant</v>
      </c>
      <c r="K22" s="33">
        <f t="shared" si="5"/>
        <v>2E-3</v>
      </c>
      <c r="L22" s="34" t="str">
        <f t="shared" ca="1" si="6"/>
        <v>non-significant</v>
      </c>
      <c r="M22" s="31" t="str">
        <f t="shared" ca="1" si="7"/>
        <v>non-significant</v>
      </c>
      <c r="N22" s="32">
        <f t="shared" si="8"/>
        <v>4.2000000000000003E-2</v>
      </c>
      <c r="O22" s="32" t="str">
        <f t="shared" ca="1" si="9"/>
        <v>non-significant</v>
      </c>
      <c r="P22" s="33">
        <f t="shared" si="10"/>
        <v>0.01</v>
      </c>
      <c r="Q22" s="34" t="str">
        <f t="shared" ca="1" si="11"/>
        <v>non-significant</v>
      </c>
      <c r="R22" s="31" t="str">
        <f t="shared" ca="1" si="12"/>
        <v>non-significant</v>
      </c>
      <c r="S22" s="32">
        <f t="shared" si="13"/>
        <v>8.4000000000000005E-2</v>
      </c>
      <c r="T22" s="32" t="str">
        <f t="shared" ca="1" si="14"/>
        <v>non-significant</v>
      </c>
      <c r="U22" s="33">
        <f t="shared" si="15"/>
        <v>0.02</v>
      </c>
      <c r="V22" s="34" t="str">
        <f t="shared" ca="1" si="16"/>
        <v>non-significant</v>
      </c>
    </row>
    <row r="23" spans="1:22" x14ac:dyDescent="0.25">
      <c r="A23" t="s">
        <v>262</v>
      </c>
      <c r="B23" s="18" t="s">
        <v>260</v>
      </c>
      <c r="C23" s="18" t="s">
        <v>260</v>
      </c>
      <c r="D23" s="18">
        <v>152</v>
      </c>
      <c r="E23">
        <f t="shared" ca="1" si="0"/>
        <v>1.1901999999999999</v>
      </c>
      <c r="F23">
        <f t="shared" ca="1" si="1"/>
        <v>0.76</v>
      </c>
      <c r="G23">
        <v>22</v>
      </c>
      <c r="H23" s="31" t="str">
        <f t="shared" ca="1" si="2"/>
        <v>non-significant</v>
      </c>
      <c r="I23" s="32">
        <f t="shared" si="3"/>
        <v>8.8000000000000005E-3</v>
      </c>
      <c r="J23" s="32" t="str">
        <f t="shared" ca="1" si="4"/>
        <v>non-significant</v>
      </c>
      <c r="K23" s="33">
        <f t="shared" si="5"/>
        <v>2.5000000000000001E-3</v>
      </c>
      <c r="L23" s="34" t="str">
        <f t="shared" ca="1" si="6"/>
        <v>non-significant</v>
      </c>
      <c r="M23" s="31" t="str">
        <f t="shared" ca="1" si="7"/>
        <v>non-significant</v>
      </c>
      <c r="N23" s="32">
        <f t="shared" si="8"/>
        <v>4.4000000000000004E-2</v>
      </c>
      <c r="O23" s="32" t="str">
        <f t="shared" ca="1" si="9"/>
        <v>non-significant</v>
      </c>
      <c r="P23" s="33">
        <f t="shared" si="10"/>
        <v>1.2500000000000001E-2</v>
      </c>
      <c r="Q23" s="34" t="str">
        <f t="shared" ca="1" si="11"/>
        <v>non-significant</v>
      </c>
      <c r="R23" s="31" t="str">
        <f t="shared" ca="1" si="12"/>
        <v>non-significant</v>
      </c>
      <c r="S23" s="32">
        <f t="shared" si="13"/>
        <v>8.8000000000000009E-2</v>
      </c>
      <c r="T23" s="32" t="str">
        <f t="shared" ca="1" si="14"/>
        <v>non-significant</v>
      </c>
      <c r="U23" s="33">
        <f t="shared" si="15"/>
        <v>2.5000000000000001E-2</v>
      </c>
      <c r="V23" s="34" t="str">
        <f t="shared" ca="1" si="16"/>
        <v>non-significant</v>
      </c>
    </row>
    <row r="24" spans="1:22" x14ac:dyDescent="0.25">
      <c r="A24" t="s">
        <v>251</v>
      </c>
      <c r="B24" s="18" t="s">
        <v>248</v>
      </c>
      <c r="C24" s="18" t="s">
        <v>139</v>
      </c>
      <c r="D24" s="18">
        <v>170</v>
      </c>
      <c r="E24">
        <f t="shared" ca="1" si="0"/>
        <v>1.1271</v>
      </c>
      <c r="F24">
        <f t="shared" ca="1" si="1"/>
        <v>0.77</v>
      </c>
      <c r="G24">
        <v>23</v>
      </c>
      <c r="H24" s="31" t="str">
        <f t="shared" ca="1" si="2"/>
        <v>non-significant</v>
      </c>
      <c r="I24" s="32">
        <f t="shared" si="3"/>
        <v>9.1999999999999998E-3</v>
      </c>
      <c r="J24" s="32" t="str">
        <f t="shared" ca="1" si="4"/>
        <v>non-significant</v>
      </c>
      <c r="K24" s="33">
        <f t="shared" si="5"/>
        <v>3.3333333333333335E-3</v>
      </c>
      <c r="L24" s="34" t="str">
        <f t="shared" ca="1" si="6"/>
        <v>non-significant</v>
      </c>
      <c r="M24" s="31" t="str">
        <f t="shared" ca="1" si="7"/>
        <v>non-significant</v>
      </c>
      <c r="N24" s="32">
        <f t="shared" si="8"/>
        <v>4.6000000000000006E-2</v>
      </c>
      <c r="O24" s="32" t="str">
        <f t="shared" ca="1" si="9"/>
        <v>non-significant</v>
      </c>
      <c r="P24" s="33">
        <f t="shared" si="10"/>
        <v>1.6666666666666666E-2</v>
      </c>
      <c r="Q24" s="34" t="str">
        <f t="shared" ca="1" si="11"/>
        <v>non-significant</v>
      </c>
      <c r="R24" s="31" t="str">
        <f t="shared" ca="1" si="12"/>
        <v>non-significant</v>
      </c>
      <c r="S24" s="32">
        <f t="shared" si="13"/>
        <v>9.2000000000000012E-2</v>
      </c>
      <c r="T24" s="32" t="str">
        <f t="shared" ca="1" si="14"/>
        <v>non-significant</v>
      </c>
      <c r="U24" s="33">
        <f t="shared" si="15"/>
        <v>3.3333333333333333E-2</v>
      </c>
      <c r="V24" s="34" t="str">
        <f t="shared" ca="1" si="16"/>
        <v>non-significant</v>
      </c>
    </row>
    <row r="25" spans="1:22" x14ac:dyDescent="0.25">
      <c r="A25" t="s">
        <v>219</v>
      </c>
      <c r="B25" s="18" t="s">
        <v>203</v>
      </c>
      <c r="C25" s="18" t="s">
        <v>203</v>
      </c>
      <c r="D25" s="18">
        <v>170</v>
      </c>
      <c r="E25">
        <f t="shared" ca="1" si="0"/>
        <v>0.91500000000000004</v>
      </c>
      <c r="F25">
        <f t="shared" ca="1" si="1"/>
        <v>0.82</v>
      </c>
      <c r="G25">
        <v>24</v>
      </c>
      <c r="H25" s="31" t="str">
        <f t="shared" ca="1" si="2"/>
        <v>non-significant</v>
      </c>
      <c r="I25" s="32">
        <f t="shared" si="3"/>
        <v>9.5999999999999992E-3</v>
      </c>
      <c r="J25" s="32" t="str">
        <f t="shared" ca="1" si="4"/>
        <v>non-significant</v>
      </c>
      <c r="K25" s="33">
        <f t="shared" si="5"/>
        <v>5.0000000000000001E-3</v>
      </c>
      <c r="L25" s="34" t="str">
        <f t="shared" ca="1" si="6"/>
        <v>non-significant</v>
      </c>
      <c r="M25" s="31" t="str">
        <f t="shared" ca="1" si="7"/>
        <v>non-significant</v>
      </c>
      <c r="N25" s="32">
        <f t="shared" si="8"/>
        <v>4.8000000000000008E-2</v>
      </c>
      <c r="O25" s="32" t="str">
        <f t="shared" ca="1" si="9"/>
        <v>non-significant</v>
      </c>
      <c r="P25" s="33">
        <f t="shared" si="10"/>
        <v>2.5000000000000001E-2</v>
      </c>
      <c r="Q25" s="34" t="str">
        <f t="shared" ca="1" si="11"/>
        <v>non-significant</v>
      </c>
      <c r="R25" s="31" t="str">
        <f t="shared" ca="1" si="12"/>
        <v>non-significant</v>
      </c>
      <c r="S25" s="32">
        <f t="shared" si="13"/>
        <v>9.6000000000000016E-2</v>
      </c>
      <c r="T25" s="32" t="str">
        <f t="shared" ca="1" si="14"/>
        <v>non-significant</v>
      </c>
      <c r="U25" s="33">
        <f t="shared" si="15"/>
        <v>0.05</v>
      </c>
      <c r="V25" s="34" t="str">
        <f t="shared" ca="1" si="16"/>
        <v>non-significant</v>
      </c>
    </row>
    <row r="26" spans="1:22" x14ac:dyDescent="0.25">
      <c r="A26" t="s">
        <v>216</v>
      </c>
      <c r="B26" s="18" t="s">
        <v>180</v>
      </c>
      <c r="C26" s="18" t="s">
        <v>180</v>
      </c>
      <c r="D26" s="18">
        <v>152</v>
      </c>
      <c r="E26">
        <f t="shared" ca="1" si="0"/>
        <v>0.69710000000000005</v>
      </c>
      <c r="F26">
        <f t="shared" ca="1" si="1"/>
        <v>0.87</v>
      </c>
      <c r="G26">
        <v>25</v>
      </c>
      <c r="H26" s="31" t="str">
        <f t="shared" ca="1" si="2"/>
        <v>non-significant</v>
      </c>
      <c r="I26" s="32">
        <f t="shared" si="3"/>
        <v>0.01</v>
      </c>
      <c r="J26" s="32" t="str">
        <f t="shared" ca="1" si="4"/>
        <v>non-significant</v>
      </c>
      <c r="K26" s="33">
        <f t="shared" si="5"/>
        <v>0.01</v>
      </c>
      <c r="L26" s="34" t="str">
        <f t="shared" ca="1" si="6"/>
        <v>non-significant</v>
      </c>
      <c r="M26" s="31" t="str">
        <f t="shared" ca="1" si="7"/>
        <v>non-significant</v>
      </c>
      <c r="N26" s="32">
        <f t="shared" si="8"/>
        <v>0.05</v>
      </c>
      <c r="O26" s="32" t="str">
        <f t="shared" ca="1" si="9"/>
        <v>non-significant</v>
      </c>
      <c r="P26" s="33">
        <f t="shared" si="10"/>
        <v>0.05</v>
      </c>
      <c r="Q26" s="34" t="str">
        <f t="shared" ca="1" si="11"/>
        <v>non-significant</v>
      </c>
      <c r="R26" s="31" t="str">
        <f t="shared" ca="1" si="12"/>
        <v>non-significant</v>
      </c>
      <c r="S26" s="32">
        <f t="shared" si="13"/>
        <v>0.1</v>
      </c>
      <c r="T26" s="32" t="str">
        <f t="shared" ca="1" si="14"/>
        <v>non-significant</v>
      </c>
      <c r="U26" s="33">
        <f t="shared" si="15"/>
        <v>0.1</v>
      </c>
      <c r="V26" s="34" t="str">
        <f t="shared" ca="1" si="16"/>
        <v>non-significant</v>
      </c>
    </row>
    <row r="29" spans="1:22" x14ac:dyDescent="0.25">
      <c r="A29" s="6"/>
      <c r="I29" s="27">
        <v>0.01</v>
      </c>
      <c r="J29" s="27">
        <f>COUNTA(B2:B26)</f>
        <v>25</v>
      </c>
      <c r="N29" s="27">
        <v>0.05</v>
      </c>
      <c r="O29" s="27"/>
      <c r="S29" s="27">
        <v>0.1</v>
      </c>
      <c r="T29" s="27"/>
    </row>
  </sheetData>
  <sortState xmlns:xlrd2="http://schemas.microsoft.com/office/spreadsheetml/2017/richdata2" ref="A2:V26">
    <sortCondition ref="G2:G26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P244"/>
  <sheetViews>
    <sheetView topLeftCell="A214" workbookViewId="0"/>
  </sheetViews>
  <sheetFormatPr defaultRowHeight="15" x14ac:dyDescent="0.25"/>
  <cols>
    <col min="1" max="1" width="30.42578125" bestFit="1" customWidth="1"/>
    <col min="2" max="2" width="12.140625" bestFit="1" customWidth="1"/>
    <col min="3" max="3" width="11.5703125" bestFit="1" customWidth="1"/>
    <col min="4" max="4" width="10.5703125" bestFit="1" customWidth="1"/>
    <col min="5" max="5" width="11.5703125" bestFit="1" customWidth="1"/>
    <col min="6" max="6" width="9.5703125" bestFit="1" customWidth="1"/>
    <col min="7" max="7" width="11.5703125" bestFit="1" customWidth="1"/>
    <col min="8" max="8" width="8.28515625" bestFit="1" customWidth="1"/>
    <col min="9" max="9" width="11.5703125" bestFit="1" customWidth="1"/>
    <col min="10" max="11" width="8.28515625" bestFit="1" customWidth="1"/>
    <col min="12" max="12" width="11.5703125" bestFit="1" customWidth="1"/>
    <col min="13" max="13" width="8.28515625" bestFit="1" customWidth="1"/>
    <col min="14" max="14" width="10.85546875" bestFit="1" customWidth="1"/>
  </cols>
  <sheetData>
    <row r="1" spans="1:6" ht="18.75" x14ac:dyDescent="0.25">
      <c r="A1" s="1" t="s">
        <v>263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13388</v>
      </c>
      <c r="C5" s="2"/>
      <c r="D5" s="2"/>
      <c r="E5" s="2"/>
      <c r="F5" s="2"/>
    </row>
    <row r="6" spans="1:6" x14ac:dyDescent="0.25">
      <c r="A6" s="3" t="s">
        <v>2</v>
      </c>
      <c r="B6" s="2">
        <v>30</v>
      </c>
      <c r="C6" s="2"/>
      <c r="D6" s="2"/>
      <c r="E6" s="2"/>
      <c r="F6" s="2"/>
    </row>
    <row r="7" spans="1:6" x14ac:dyDescent="0.25">
      <c r="A7" s="3" t="s">
        <v>3</v>
      </c>
      <c r="B7" s="2">
        <v>693072035.39219999</v>
      </c>
      <c r="C7" s="2"/>
      <c r="D7" s="2"/>
      <c r="E7" s="2"/>
      <c r="F7" s="2"/>
    </row>
    <row r="8" spans="1:6" x14ac:dyDescent="0.25">
      <c r="A8" s="3" t="s">
        <v>4</v>
      </c>
      <c r="B8" s="2">
        <v>693072035.39219999</v>
      </c>
      <c r="C8" s="2"/>
      <c r="D8" s="2"/>
      <c r="E8" s="2"/>
      <c r="F8" s="2"/>
    </row>
    <row r="9" spans="1:6" x14ac:dyDescent="0.25">
      <c r="A9" s="3" t="s">
        <v>5</v>
      </c>
      <c r="B9" s="2">
        <v>107879</v>
      </c>
      <c r="C9" s="2"/>
      <c r="D9" s="2"/>
      <c r="E9" s="2"/>
      <c r="F9" s="2"/>
    </row>
    <row r="10" spans="1:6" x14ac:dyDescent="0.25">
      <c r="A10" s="3" t="s">
        <v>6</v>
      </c>
      <c r="B10" s="2">
        <v>107879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1.0790999999999999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0.71379999999999999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0.8075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1.0790999999999999</v>
      </c>
      <c r="C17" s="2"/>
      <c r="D17" s="2"/>
      <c r="E17" s="2"/>
      <c r="F17" s="2"/>
    </row>
    <row r="18" spans="1:6" x14ac:dyDescent="0.25">
      <c r="A18" s="3" t="s">
        <v>15</v>
      </c>
      <c r="B18" s="2">
        <v>1.0790999999999999</v>
      </c>
      <c r="C18" s="2"/>
      <c r="D18" s="2"/>
      <c r="E18" s="2"/>
      <c r="F18" s="2"/>
    </row>
    <row r="19" spans="1:6" x14ac:dyDescent="0.25">
      <c r="A19" s="3" t="s">
        <v>16</v>
      </c>
      <c r="B19" s="2">
        <v>1.0790999999999999</v>
      </c>
      <c r="C19" s="2"/>
      <c r="D19" s="2"/>
      <c r="E19" s="2"/>
      <c r="F19" s="2"/>
    </row>
    <row r="20" spans="1:6" x14ac:dyDescent="0.25">
      <c r="A20" s="3" t="s">
        <v>17</v>
      </c>
      <c r="B20" s="2">
        <v>1.0790999999999999</v>
      </c>
      <c r="C20" s="2"/>
      <c r="D20" s="2"/>
      <c r="E20" s="2"/>
      <c r="F20" s="2"/>
    </row>
    <row r="21" spans="1:6" x14ac:dyDescent="0.25">
      <c r="A21" s="3" t="s">
        <v>18</v>
      </c>
      <c r="B21" s="2">
        <v>1.0790999999999999</v>
      </c>
      <c r="C21" s="2"/>
      <c r="D21" s="2"/>
      <c r="E21" s="2"/>
      <c r="F21" s="2"/>
    </row>
    <row r="22" spans="1:6" x14ac:dyDescent="0.25">
      <c r="A22" s="3" t="s">
        <v>19</v>
      </c>
      <c r="B22" s="2">
        <v>1E-4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-12289.825199999999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-12289.825199999999</v>
      </c>
      <c r="C27" s="2"/>
      <c r="D27" s="2"/>
      <c r="E27" s="2"/>
      <c r="F27" s="2"/>
    </row>
    <row r="28" spans="1:6" x14ac:dyDescent="0.25">
      <c r="A28" s="3" t="s">
        <v>24</v>
      </c>
      <c r="B28" s="2">
        <v>24864.713800000001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24639.650300000001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24669.650300000001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24894.713800000001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24769.3766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0.34260000000000002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2.3300000000000001E-2</v>
      </c>
      <c r="C38" s="2"/>
      <c r="D38" s="2"/>
      <c r="E38" s="2"/>
      <c r="F38" s="2"/>
    </row>
    <row r="39" spans="1:6" x14ac:dyDescent="0.25">
      <c r="A39" s="3" t="s">
        <v>33</v>
      </c>
      <c r="B39" s="2">
        <v>1.84E-2</v>
      </c>
      <c r="C39" s="2"/>
      <c r="D39" s="2"/>
      <c r="E39" s="2"/>
      <c r="F39" s="2"/>
    </row>
    <row r="40" spans="1:6" x14ac:dyDescent="0.25">
      <c r="A40" s="3" t="s">
        <v>34</v>
      </c>
      <c r="B40" s="2">
        <v>-24515.261299999998</v>
      </c>
      <c r="C40" s="2"/>
      <c r="D40" s="2"/>
      <c r="E40" s="2"/>
      <c r="F40" s="2"/>
    </row>
    <row r="41" spans="1:6" x14ac:dyDescent="0.25">
      <c r="A41" s="3" t="s">
        <v>35</v>
      </c>
      <c r="B41" s="2">
        <v>12225.436100000001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49030.522599999997</v>
      </c>
      <c r="C42" s="2"/>
      <c r="D42" s="2"/>
      <c r="E42" s="2"/>
      <c r="F42" s="2"/>
    </row>
    <row r="43" spans="1:6" x14ac:dyDescent="0.25">
      <c r="A43" s="3" t="s">
        <v>37</v>
      </c>
      <c r="B43" s="2">
        <v>49690.649400000002</v>
      </c>
      <c r="C43" s="2"/>
      <c r="D43" s="2"/>
      <c r="E43" s="2"/>
      <c r="F43" s="2"/>
    </row>
    <row r="44" spans="1:6" x14ac:dyDescent="0.25">
      <c r="A44" s="3" t="s">
        <v>38</v>
      </c>
      <c r="B44" s="2">
        <v>49315.586000000003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8801.6412999999993</v>
      </c>
      <c r="C48" s="2">
        <v>0</v>
      </c>
      <c r="D48" s="2">
        <v>0</v>
      </c>
      <c r="E48" s="2">
        <v>0</v>
      </c>
      <c r="F48" s="2">
        <v>8801.6412999999993</v>
      </c>
    </row>
    <row r="49" spans="1:6" x14ac:dyDescent="0.25">
      <c r="A49" s="3" t="s">
        <v>43</v>
      </c>
      <c r="B49" s="2">
        <v>2224.4204</v>
      </c>
      <c r="C49" s="2">
        <v>0</v>
      </c>
      <c r="D49" s="2">
        <v>0</v>
      </c>
      <c r="E49" s="2">
        <v>0</v>
      </c>
      <c r="F49" s="2">
        <v>2224.4204</v>
      </c>
    </row>
    <row r="50" spans="1:6" x14ac:dyDescent="0.25">
      <c r="A50" s="3" t="s">
        <v>44</v>
      </c>
      <c r="B50" s="2">
        <v>2140.4506999999999</v>
      </c>
      <c r="C50" s="2">
        <v>0</v>
      </c>
      <c r="D50" s="2">
        <v>0</v>
      </c>
      <c r="E50" s="2">
        <v>0</v>
      </c>
      <c r="F50" s="2">
        <v>2140.4506999999999</v>
      </c>
    </row>
    <row r="51" spans="1:6" x14ac:dyDescent="0.25">
      <c r="A51" s="3" t="s">
        <v>45</v>
      </c>
      <c r="B51" s="2">
        <v>221.48759999999999</v>
      </c>
      <c r="C51" s="2">
        <v>0</v>
      </c>
      <c r="D51" s="2">
        <v>0</v>
      </c>
      <c r="E51" s="2">
        <v>0</v>
      </c>
      <c r="F51" s="2">
        <v>221.48759999999999</v>
      </c>
    </row>
    <row r="52" spans="1:6" x14ac:dyDescent="0.25">
      <c r="A52" s="3" t="s">
        <v>46</v>
      </c>
      <c r="B52" s="2">
        <v>13388</v>
      </c>
      <c r="C52" s="2">
        <v>0</v>
      </c>
      <c r="D52" s="2">
        <v>0</v>
      </c>
      <c r="E52" s="2">
        <v>0</v>
      </c>
      <c r="F52" s="2">
        <v>13388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5847.1538</v>
      </c>
      <c r="C56" s="2">
        <v>1439.2179000000001</v>
      </c>
      <c r="D56" s="2">
        <v>1372.0921000000001</v>
      </c>
      <c r="E56" s="2">
        <v>143.17760000000001</v>
      </c>
      <c r="F56" s="2">
        <v>8801.6412999999993</v>
      </c>
    </row>
    <row r="57" spans="1:6" x14ac:dyDescent="0.25">
      <c r="A57" s="3" t="s">
        <v>43</v>
      </c>
      <c r="B57" s="2">
        <v>1439.2179000000001</v>
      </c>
      <c r="C57" s="2">
        <v>394.73489999999998</v>
      </c>
      <c r="D57" s="2">
        <v>352.61630000000002</v>
      </c>
      <c r="E57" s="2">
        <v>37.851199999999999</v>
      </c>
      <c r="F57" s="2">
        <v>2224.4204</v>
      </c>
    </row>
    <row r="58" spans="1:6" x14ac:dyDescent="0.25">
      <c r="A58" s="3" t="s">
        <v>44</v>
      </c>
      <c r="B58" s="2">
        <v>1372.0921000000001</v>
      </c>
      <c r="C58" s="2">
        <v>352.61630000000002</v>
      </c>
      <c r="D58" s="2">
        <v>381.04430000000002</v>
      </c>
      <c r="E58" s="2">
        <v>34.698</v>
      </c>
      <c r="F58" s="2">
        <v>2140.4506999999999</v>
      </c>
    </row>
    <row r="59" spans="1:6" x14ac:dyDescent="0.25">
      <c r="A59" s="3" t="s">
        <v>45</v>
      </c>
      <c r="B59" s="2">
        <v>143.17760000000001</v>
      </c>
      <c r="C59" s="2">
        <v>37.851199999999999</v>
      </c>
      <c r="D59" s="2">
        <v>34.698</v>
      </c>
      <c r="E59" s="2">
        <v>5.7607999999999997</v>
      </c>
      <c r="F59" s="2">
        <v>221.48759999999999</v>
      </c>
    </row>
    <row r="60" spans="1:6" x14ac:dyDescent="0.25">
      <c r="A60" s="3" t="s">
        <v>46</v>
      </c>
      <c r="B60" s="2">
        <v>8801.6412999999993</v>
      </c>
      <c r="C60" s="2">
        <v>2224.4204</v>
      </c>
      <c r="D60" s="2">
        <v>2140.4506999999999</v>
      </c>
      <c r="E60" s="2">
        <v>221.48759999999999</v>
      </c>
      <c r="F60" s="2">
        <v>13388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0.34260000000000002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2.3300000000000001E-2</v>
      </c>
      <c r="C65" s="2"/>
      <c r="D65" s="2"/>
      <c r="E65" s="2"/>
      <c r="F65" s="2"/>
    </row>
    <row r="66" spans="1:6" x14ac:dyDescent="0.25">
      <c r="A66" s="3" t="s">
        <v>33</v>
      </c>
      <c r="B66" s="2">
        <v>1.84E-2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256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13388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264</v>
      </c>
      <c r="B140" s="2" t="s">
        <v>95</v>
      </c>
      <c r="C140" s="2">
        <v>10</v>
      </c>
      <c r="D140" s="2"/>
      <c r="E140" s="2"/>
      <c r="F140" s="2"/>
    </row>
    <row r="141" spans="1:6" x14ac:dyDescent="0.25">
      <c r="A141" s="3">
        <v>45</v>
      </c>
      <c r="B141" s="2">
        <v>45</v>
      </c>
      <c r="C141" s="2"/>
      <c r="D141" s="2"/>
      <c r="E141" s="2"/>
      <c r="F141" s="2"/>
    </row>
    <row r="142" spans="1:6" x14ac:dyDescent="0.25">
      <c r="A142" s="3">
        <v>1516</v>
      </c>
      <c r="B142" s="2">
        <v>1516</v>
      </c>
      <c r="C142" s="2"/>
      <c r="D142" s="2"/>
      <c r="E142" s="2"/>
      <c r="F142" s="2"/>
    </row>
    <row r="143" spans="1:6" x14ac:dyDescent="0.25">
      <c r="A143" s="3">
        <v>2728</v>
      </c>
      <c r="B143" s="2">
        <v>2728</v>
      </c>
      <c r="C143" s="2"/>
      <c r="D143" s="2"/>
      <c r="E143" s="2"/>
      <c r="F143" s="2"/>
    </row>
    <row r="144" spans="1:6" x14ac:dyDescent="0.25">
      <c r="A144" s="3">
        <v>6472</v>
      </c>
      <c r="B144" s="2">
        <v>6472</v>
      </c>
      <c r="C144" s="2"/>
      <c r="D144" s="2"/>
      <c r="E144" s="2"/>
      <c r="F144" s="2"/>
    </row>
    <row r="145" spans="1:16" x14ac:dyDescent="0.25">
      <c r="A145" s="3">
        <v>171819</v>
      </c>
      <c r="B145" s="2">
        <v>171819</v>
      </c>
      <c r="C145" s="2"/>
      <c r="D145" s="2"/>
      <c r="E145" s="2"/>
      <c r="F145" s="2"/>
    </row>
    <row r="146" spans="1:16" x14ac:dyDescent="0.25">
      <c r="A146" s="3">
        <v>242526</v>
      </c>
      <c r="B146" s="2">
        <v>242526</v>
      </c>
      <c r="C146" s="2"/>
      <c r="D146" s="2"/>
      <c r="E146" s="2"/>
      <c r="F146" s="2"/>
    </row>
    <row r="147" spans="1:16" x14ac:dyDescent="0.25">
      <c r="A147" s="3">
        <v>606162</v>
      </c>
      <c r="B147" s="2">
        <v>606162</v>
      </c>
      <c r="C147" s="2"/>
      <c r="D147" s="2"/>
      <c r="E147" s="2"/>
      <c r="F147" s="2"/>
    </row>
    <row r="148" spans="1:16" x14ac:dyDescent="0.25">
      <c r="A148" s="3">
        <v>20362122</v>
      </c>
      <c r="B148" s="2">
        <v>20362122</v>
      </c>
      <c r="C148" s="2"/>
      <c r="D148" s="2"/>
      <c r="E148" s="2"/>
      <c r="F148" s="2"/>
    </row>
    <row r="149" spans="1:16" x14ac:dyDescent="0.25">
      <c r="A149" s="5">
        <v>5052000000</v>
      </c>
      <c r="B149" s="4">
        <v>5051525600</v>
      </c>
      <c r="C149" s="2"/>
      <c r="D149" s="2"/>
      <c r="E149" s="2"/>
      <c r="F149" s="2"/>
    </row>
    <row r="150" spans="1:16" x14ac:dyDescent="0.25">
      <c r="A150" s="5">
        <v>293100000000</v>
      </c>
      <c r="B150" s="4">
        <v>293132330000</v>
      </c>
      <c r="C150" s="2"/>
      <c r="D150" s="2"/>
      <c r="E150" s="2"/>
      <c r="F150" s="2"/>
    </row>
    <row r="152" spans="1:16" ht="18.75" x14ac:dyDescent="0.25">
      <c r="A152" s="1" t="s">
        <v>102</v>
      </c>
    </row>
    <row r="154" spans="1:16" x14ac:dyDescent="0.25">
      <c r="A154" s="3" t="s">
        <v>103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28.5" x14ac:dyDescent="0.25">
      <c r="A155" s="3" t="s">
        <v>104</v>
      </c>
      <c r="B155" s="3" t="s">
        <v>42</v>
      </c>
      <c r="C155" s="3" t="s">
        <v>105</v>
      </c>
      <c r="D155" s="3" t="s">
        <v>123</v>
      </c>
      <c r="E155" s="3" t="s">
        <v>43</v>
      </c>
      <c r="F155" s="3" t="s">
        <v>105</v>
      </c>
      <c r="G155" s="3" t="s">
        <v>123</v>
      </c>
      <c r="H155" s="3" t="s">
        <v>44</v>
      </c>
      <c r="I155" s="3" t="s">
        <v>105</v>
      </c>
      <c r="J155" s="3" t="s">
        <v>123</v>
      </c>
      <c r="K155" s="3" t="s">
        <v>45</v>
      </c>
      <c r="L155" s="3" t="s">
        <v>105</v>
      </c>
      <c r="M155" s="3" t="s">
        <v>123</v>
      </c>
      <c r="N155" s="3" t="s">
        <v>106</v>
      </c>
      <c r="O155" s="3" t="s">
        <v>9</v>
      </c>
      <c r="P155" s="2"/>
    </row>
    <row r="156" spans="1:16" x14ac:dyDescent="0.25">
      <c r="A156" s="3"/>
      <c r="B156" s="2">
        <v>9.7391000000000005</v>
      </c>
      <c r="C156" s="2">
        <v>0.1971</v>
      </c>
      <c r="D156" s="2">
        <v>49.405799999999999</v>
      </c>
      <c r="E156" s="2">
        <v>8.4275000000000002</v>
      </c>
      <c r="F156" s="2">
        <v>0.22950000000000001</v>
      </c>
      <c r="G156" s="2">
        <v>36.724699999999999</v>
      </c>
      <c r="H156" s="2">
        <v>8.1987000000000005</v>
      </c>
      <c r="I156" s="2">
        <v>0.15529999999999999</v>
      </c>
      <c r="J156" s="2">
        <v>52.776200000000003</v>
      </c>
      <c r="K156" s="2">
        <v>-26.365300000000001</v>
      </c>
      <c r="L156" s="2">
        <v>0.52290000000000003</v>
      </c>
      <c r="M156" s="2">
        <v>-50.423699999999997</v>
      </c>
      <c r="N156" s="2">
        <v>3069.6774999999998</v>
      </c>
      <c r="O156" s="4" t="s">
        <v>265</v>
      </c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28.5" x14ac:dyDescent="0.25">
      <c r="A158" s="3" t="s">
        <v>107</v>
      </c>
      <c r="B158" s="3" t="s">
        <v>42</v>
      </c>
      <c r="C158" s="3" t="s">
        <v>105</v>
      </c>
      <c r="D158" s="3" t="s">
        <v>123</v>
      </c>
      <c r="E158" s="3" t="s">
        <v>43</v>
      </c>
      <c r="F158" s="3" t="s">
        <v>105</v>
      </c>
      <c r="G158" s="3" t="s">
        <v>123</v>
      </c>
      <c r="H158" s="3" t="s">
        <v>44</v>
      </c>
      <c r="I158" s="3" t="s">
        <v>105</v>
      </c>
      <c r="J158" s="3" t="s">
        <v>123</v>
      </c>
      <c r="K158" s="3" t="s">
        <v>45</v>
      </c>
      <c r="L158" s="3" t="s">
        <v>105</v>
      </c>
      <c r="M158" s="3" t="s">
        <v>123</v>
      </c>
      <c r="N158" s="3" t="s">
        <v>106</v>
      </c>
      <c r="O158" s="3" t="s">
        <v>9</v>
      </c>
      <c r="P158" s="2"/>
    </row>
    <row r="159" spans="1:16" x14ac:dyDescent="0.25">
      <c r="A159" s="3" t="s">
        <v>264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3">
        <v>45</v>
      </c>
      <c r="B160" s="2">
        <v>-8.5870999999999995</v>
      </c>
      <c r="C160" s="2">
        <v>0.29409999999999997</v>
      </c>
      <c r="D160" s="2">
        <v>-29.202000000000002</v>
      </c>
      <c r="E160" s="2">
        <v>-8.5524000000000004</v>
      </c>
      <c r="F160" s="2">
        <v>0.3775</v>
      </c>
      <c r="G160" s="2">
        <v>-22.656500000000001</v>
      </c>
      <c r="H160" s="2">
        <v>-7.4908999999999999</v>
      </c>
      <c r="I160" s="2">
        <v>0.3155</v>
      </c>
      <c r="J160" s="2">
        <v>-23.746700000000001</v>
      </c>
      <c r="K160" s="2">
        <v>24.630500000000001</v>
      </c>
      <c r="L160" s="2">
        <v>0.63319999999999999</v>
      </c>
      <c r="M160" s="2">
        <v>38.900700000000001</v>
      </c>
      <c r="N160" s="2">
        <v>308450405853.59998</v>
      </c>
      <c r="O160" s="4">
        <v>0</v>
      </c>
      <c r="P160" s="2"/>
    </row>
    <row r="161" spans="1:16" x14ac:dyDescent="0.25">
      <c r="A161" s="3">
        <v>1516</v>
      </c>
      <c r="B161" s="2">
        <v>-7.9450000000000003</v>
      </c>
      <c r="C161" s="2">
        <v>0.33179999999999998</v>
      </c>
      <c r="D161" s="2">
        <v>-23.944600000000001</v>
      </c>
      <c r="E161" s="2">
        <v>-8.4747000000000003</v>
      </c>
      <c r="F161" s="2">
        <v>0.36620000000000003</v>
      </c>
      <c r="G161" s="2">
        <v>-23.145099999999999</v>
      </c>
      <c r="H161" s="2">
        <v>-8.2768999999999995</v>
      </c>
      <c r="I161" s="2">
        <v>0.35049999999999998</v>
      </c>
      <c r="J161" s="2">
        <v>-23.617899999999999</v>
      </c>
      <c r="K161" s="2">
        <v>24.6967</v>
      </c>
      <c r="L161" s="2">
        <v>0.90229999999999999</v>
      </c>
      <c r="M161" s="2">
        <v>27.369499999999999</v>
      </c>
      <c r="N161" s="2"/>
      <c r="O161" s="2"/>
      <c r="P161" s="2"/>
    </row>
    <row r="162" spans="1:16" x14ac:dyDescent="0.25">
      <c r="A162" s="3">
        <v>2728</v>
      </c>
      <c r="B162" s="2">
        <v>24.8245</v>
      </c>
      <c r="C162" s="2">
        <v>1.3671</v>
      </c>
      <c r="D162" s="2">
        <v>18.158000000000001</v>
      </c>
      <c r="E162" s="2">
        <v>25.521799999999999</v>
      </c>
      <c r="F162" s="2">
        <v>1.3926000000000001</v>
      </c>
      <c r="G162" s="2">
        <v>18.327200000000001</v>
      </c>
      <c r="H162" s="2">
        <v>25.430099999999999</v>
      </c>
      <c r="I162" s="2">
        <v>1.3527</v>
      </c>
      <c r="J162" s="2">
        <v>18.8002</v>
      </c>
      <c r="K162" s="2">
        <v>-75.776399999999995</v>
      </c>
      <c r="L162" s="2">
        <v>4.0218999999999996</v>
      </c>
      <c r="M162" s="2">
        <v>-18.840800000000002</v>
      </c>
      <c r="N162" s="2"/>
      <c r="O162" s="2"/>
      <c r="P162" s="2"/>
    </row>
    <row r="163" spans="1:16" x14ac:dyDescent="0.25">
      <c r="A163" s="3">
        <v>6472</v>
      </c>
      <c r="B163" s="2">
        <v>-8.6146999999999991</v>
      </c>
      <c r="C163" s="2">
        <v>0.34599999999999997</v>
      </c>
      <c r="D163" s="2">
        <v>-24.8977</v>
      </c>
      <c r="E163" s="2">
        <v>-7.9137000000000004</v>
      </c>
      <c r="F163" s="2">
        <v>0.4224</v>
      </c>
      <c r="G163" s="2">
        <v>-18.734000000000002</v>
      </c>
      <c r="H163" s="2">
        <v>-8.7423999999999999</v>
      </c>
      <c r="I163" s="2">
        <v>0.49490000000000001</v>
      </c>
      <c r="J163" s="2">
        <v>-17.663799999999998</v>
      </c>
      <c r="K163" s="2">
        <v>25.270800000000001</v>
      </c>
      <c r="L163" s="2">
        <v>0.74590000000000001</v>
      </c>
      <c r="M163" s="2">
        <v>33.881799999999998</v>
      </c>
      <c r="N163" s="2"/>
      <c r="O163" s="2"/>
      <c r="P163" s="2"/>
    </row>
    <row r="164" spans="1:16" x14ac:dyDescent="0.25">
      <c r="A164" s="3">
        <v>171819</v>
      </c>
      <c r="B164" s="2">
        <v>-8.0358000000000001</v>
      </c>
      <c r="C164" s="2">
        <v>0.2893</v>
      </c>
      <c r="D164" s="2">
        <v>-27.774999999999999</v>
      </c>
      <c r="E164" s="2">
        <v>-7.9409999999999998</v>
      </c>
      <c r="F164" s="2">
        <v>0.40050000000000002</v>
      </c>
      <c r="G164" s="2">
        <v>-19.829799999999999</v>
      </c>
      <c r="H164" s="2">
        <v>-8.1744000000000003</v>
      </c>
      <c r="I164" s="2">
        <v>0.31890000000000002</v>
      </c>
      <c r="J164" s="2">
        <v>-25.636199999999999</v>
      </c>
      <c r="K164" s="2">
        <v>24.151299999999999</v>
      </c>
      <c r="L164" s="2">
        <v>0.70399999999999996</v>
      </c>
      <c r="M164" s="2">
        <v>34.304699999999997</v>
      </c>
      <c r="N164" s="2"/>
      <c r="O164" s="2"/>
      <c r="P164" s="2"/>
    </row>
    <row r="165" spans="1:16" x14ac:dyDescent="0.25">
      <c r="A165" s="3">
        <v>242526</v>
      </c>
      <c r="B165" s="2">
        <v>-0.8357</v>
      </c>
      <c r="C165" s="2">
        <v>0.34300000000000003</v>
      </c>
      <c r="D165" s="2">
        <v>-2.4359999999999999</v>
      </c>
      <c r="E165" s="2">
        <v>-0.97360000000000002</v>
      </c>
      <c r="F165" s="2">
        <v>0.43169999999999997</v>
      </c>
      <c r="G165" s="2">
        <v>-2.2555000000000001</v>
      </c>
      <c r="H165" s="2">
        <v>-0.79510000000000003</v>
      </c>
      <c r="I165" s="2">
        <v>59529249.088399999</v>
      </c>
      <c r="J165" s="2">
        <v>0</v>
      </c>
      <c r="K165" s="2">
        <v>2.6044</v>
      </c>
      <c r="L165" s="2">
        <v>59529248.659999996</v>
      </c>
      <c r="M165" s="2">
        <v>0</v>
      </c>
      <c r="N165" s="2"/>
      <c r="O165" s="2"/>
      <c r="P165" s="2"/>
    </row>
    <row r="166" spans="1:16" x14ac:dyDescent="0.25">
      <c r="A166" s="3">
        <v>606162</v>
      </c>
      <c r="B166" s="2">
        <v>-7.8594999999999997</v>
      </c>
      <c r="C166" s="2">
        <v>0.38340000000000002</v>
      </c>
      <c r="D166" s="2">
        <v>-20.498000000000001</v>
      </c>
      <c r="E166" s="2">
        <v>-7.8193999999999999</v>
      </c>
      <c r="F166" s="2">
        <v>0.51100000000000001</v>
      </c>
      <c r="G166" s="2">
        <v>-15.3027</v>
      </c>
      <c r="H166" s="2">
        <v>-8.5706000000000007</v>
      </c>
      <c r="I166" s="2">
        <v>0.54530000000000001</v>
      </c>
      <c r="J166" s="2">
        <v>-15.7174</v>
      </c>
      <c r="K166" s="2">
        <v>24.249400000000001</v>
      </c>
      <c r="L166" s="2">
        <v>0.9667</v>
      </c>
      <c r="M166" s="2">
        <v>25.0853</v>
      </c>
      <c r="N166" s="2"/>
      <c r="O166" s="2"/>
      <c r="P166" s="2"/>
    </row>
    <row r="167" spans="1:16" x14ac:dyDescent="0.25">
      <c r="A167" s="3">
        <v>20362122</v>
      </c>
      <c r="B167" s="2">
        <v>33.139400000000002</v>
      </c>
      <c r="C167" s="2">
        <v>0.3679</v>
      </c>
      <c r="D167" s="2">
        <v>90.080500000000001</v>
      </c>
      <c r="E167" s="2">
        <v>32.865299999999998</v>
      </c>
      <c r="F167" s="2">
        <v>0.55869999999999997</v>
      </c>
      <c r="G167" s="2">
        <v>58.826900000000002</v>
      </c>
      <c r="H167" s="2">
        <v>32.908299999999997</v>
      </c>
      <c r="I167" s="2">
        <v>48663468.874399997</v>
      </c>
      <c r="J167" s="2">
        <v>0</v>
      </c>
      <c r="K167" s="2">
        <v>-98.912999999999997</v>
      </c>
      <c r="L167" s="2">
        <v>48663468.588799998</v>
      </c>
      <c r="M167" s="2">
        <v>0</v>
      </c>
      <c r="N167" s="2"/>
      <c r="O167" s="2"/>
      <c r="P167" s="2"/>
    </row>
    <row r="168" spans="1:16" x14ac:dyDescent="0.25">
      <c r="A168" s="5">
        <v>5052000000</v>
      </c>
      <c r="B168" s="2">
        <v>-8.0739999999999998</v>
      </c>
      <c r="C168" s="2">
        <v>0.19109999999999999</v>
      </c>
      <c r="D168" s="2">
        <v>-42.249899999999997</v>
      </c>
      <c r="E168" s="2">
        <v>-8.1971000000000007</v>
      </c>
      <c r="F168" s="2">
        <v>0.26450000000000001</v>
      </c>
      <c r="G168" s="2">
        <v>-30.985499999999998</v>
      </c>
      <c r="H168" s="2">
        <v>-7.8962000000000003</v>
      </c>
      <c r="I168" s="2">
        <v>121984818.7331</v>
      </c>
      <c r="J168" s="2">
        <v>0</v>
      </c>
      <c r="K168" s="2">
        <v>24.167300000000001</v>
      </c>
      <c r="L168" s="2">
        <v>121984818.4755</v>
      </c>
      <c r="M168" s="2">
        <v>0</v>
      </c>
      <c r="N168" s="2"/>
      <c r="O168" s="2"/>
      <c r="P168" s="2"/>
    </row>
    <row r="169" spans="1:16" x14ac:dyDescent="0.25">
      <c r="A169" s="5">
        <v>293100000000</v>
      </c>
      <c r="B169" s="2">
        <v>-8.0121000000000002</v>
      </c>
      <c r="C169" s="2">
        <v>0.35070000000000001</v>
      </c>
      <c r="D169" s="2">
        <v>-22.8445</v>
      </c>
      <c r="E169" s="2">
        <v>-8.5150000000000006</v>
      </c>
      <c r="F169" s="2">
        <v>0.46139999999999998</v>
      </c>
      <c r="G169" s="2">
        <v>-18.4528</v>
      </c>
      <c r="H169" s="2">
        <v>-8.3918999999999997</v>
      </c>
      <c r="I169" s="2">
        <v>183346016.09209999</v>
      </c>
      <c r="J169" s="2">
        <v>0</v>
      </c>
      <c r="K169" s="2">
        <v>24.919</v>
      </c>
      <c r="L169" s="2">
        <v>183346016.34240001</v>
      </c>
      <c r="M169" s="2">
        <v>0</v>
      </c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2" spans="1:16" ht="18.75" x14ac:dyDescent="0.25">
      <c r="A172" s="1" t="s">
        <v>108</v>
      </c>
    </row>
    <row r="174" spans="1:16" x14ac:dyDescent="0.25">
      <c r="A174" s="3" t="s">
        <v>103</v>
      </c>
      <c r="B174" s="3"/>
      <c r="C174" s="3"/>
      <c r="D174" s="3" t="s">
        <v>106</v>
      </c>
      <c r="E174" s="3" t="s">
        <v>109</v>
      </c>
      <c r="F174" s="3" t="s">
        <v>9</v>
      </c>
    </row>
    <row r="175" spans="1:16" x14ac:dyDescent="0.25">
      <c r="A175" s="3" t="s">
        <v>104</v>
      </c>
      <c r="B175" s="2"/>
      <c r="C175" s="2"/>
      <c r="D175" s="2"/>
      <c r="E175" s="2"/>
      <c r="F175" s="2"/>
    </row>
    <row r="176" spans="1:16" x14ac:dyDescent="0.25">
      <c r="A176" s="3" t="s">
        <v>110</v>
      </c>
      <c r="B176" s="3">
        <v>1</v>
      </c>
      <c r="C176" s="3">
        <v>2</v>
      </c>
      <c r="D176" s="2">
        <v>80.36</v>
      </c>
      <c r="E176" s="2">
        <v>1</v>
      </c>
      <c r="F176" s="4">
        <v>3.0999999999999999E-19</v>
      </c>
    </row>
    <row r="177" spans="1:9" x14ac:dyDescent="0.25">
      <c r="A177" s="3" t="s">
        <v>110</v>
      </c>
      <c r="B177" s="3">
        <v>1</v>
      </c>
      <c r="C177" s="3">
        <v>3</v>
      </c>
      <c r="D177" s="2">
        <v>128.0626</v>
      </c>
      <c r="E177" s="2">
        <v>1</v>
      </c>
      <c r="F177" s="4">
        <v>1.1E-29</v>
      </c>
    </row>
    <row r="178" spans="1:9" x14ac:dyDescent="0.25">
      <c r="A178" s="3" t="s">
        <v>110</v>
      </c>
      <c r="B178" s="3">
        <v>1</v>
      </c>
      <c r="C178" s="3">
        <v>4</v>
      </c>
      <c r="D178" s="2">
        <v>2583.5583000000001</v>
      </c>
      <c r="E178" s="2">
        <v>1</v>
      </c>
      <c r="F178" s="4" t="s">
        <v>266</v>
      </c>
    </row>
    <row r="179" spans="1:9" x14ac:dyDescent="0.25">
      <c r="A179" s="3" t="s">
        <v>110</v>
      </c>
      <c r="B179" s="3">
        <v>2</v>
      </c>
      <c r="C179" s="3">
        <v>3</v>
      </c>
      <c r="D179" s="2">
        <v>1.5564</v>
      </c>
      <c r="E179" s="2">
        <v>1</v>
      </c>
      <c r="F179" s="2">
        <v>0.21</v>
      </c>
    </row>
    <row r="180" spans="1:9" x14ac:dyDescent="0.25">
      <c r="A180" s="3" t="s">
        <v>110</v>
      </c>
      <c r="B180" s="3">
        <v>2</v>
      </c>
      <c r="C180" s="3">
        <v>4</v>
      </c>
      <c r="D180" s="2">
        <v>2222.5472</v>
      </c>
      <c r="E180" s="2">
        <v>1</v>
      </c>
      <c r="F180" s="4" t="s">
        <v>267</v>
      </c>
    </row>
    <row r="181" spans="1:9" x14ac:dyDescent="0.25">
      <c r="A181" s="3" t="s">
        <v>110</v>
      </c>
      <c r="B181" s="3">
        <v>3</v>
      </c>
      <c r="C181" s="3">
        <v>4</v>
      </c>
      <c r="D181" s="2">
        <v>2756.2853</v>
      </c>
      <c r="E181" s="2">
        <v>1</v>
      </c>
      <c r="F181" s="4" t="s">
        <v>268</v>
      </c>
    </row>
    <row r="182" spans="1:9" x14ac:dyDescent="0.25">
      <c r="A182" s="3" t="s">
        <v>264</v>
      </c>
      <c r="B182" s="2"/>
      <c r="C182" s="2"/>
      <c r="D182" s="2"/>
      <c r="E182" s="2"/>
      <c r="F182" s="2"/>
    </row>
    <row r="183" spans="1:9" x14ac:dyDescent="0.25">
      <c r="A183" s="3" t="s">
        <v>110</v>
      </c>
      <c r="B183" s="3">
        <v>1</v>
      </c>
      <c r="C183" s="3">
        <v>2</v>
      </c>
      <c r="D183" s="2">
        <v>8.2138000000000009</v>
      </c>
      <c r="E183" s="2">
        <v>9</v>
      </c>
      <c r="F183" s="2">
        <v>0.51</v>
      </c>
    </row>
    <row r="184" spans="1:9" x14ac:dyDescent="0.25">
      <c r="A184" s="3" t="s">
        <v>110</v>
      </c>
      <c r="B184" s="3">
        <v>1</v>
      </c>
      <c r="C184" s="3">
        <v>3</v>
      </c>
      <c r="D184" s="2">
        <v>13.9116</v>
      </c>
      <c r="E184" s="2">
        <v>9</v>
      </c>
      <c r="F184" s="2">
        <v>0.13</v>
      </c>
    </row>
    <row r="185" spans="1:9" x14ac:dyDescent="0.25">
      <c r="A185" s="3" t="s">
        <v>110</v>
      </c>
      <c r="B185" s="3">
        <v>1</v>
      </c>
      <c r="C185" s="3">
        <v>4</v>
      </c>
      <c r="D185" s="2">
        <v>8773.8934000000008</v>
      </c>
      <c r="E185" s="2">
        <v>9</v>
      </c>
      <c r="F185" s="4" t="s">
        <v>269</v>
      </c>
    </row>
    <row r="186" spans="1:9" x14ac:dyDescent="0.25">
      <c r="A186" s="3" t="s">
        <v>110</v>
      </c>
      <c r="B186" s="3">
        <v>2</v>
      </c>
      <c r="C186" s="3">
        <v>3</v>
      </c>
      <c r="D186" s="2">
        <v>6.7102000000000004</v>
      </c>
      <c r="E186" s="2">
        <v>9</v>
      </c>
      <c r="F186" s="2">
        <v>0.67</v>
      </c>
    </row>
    <row r="187" spans="1:9" x14ac:dyDescent="0.25">
      <c r="A187" s="3" t="s">
        <v>110</v>
      </c>
      <c r="B187" s="3">
        <v>2</v>
      </c>
      <c r="C187" s="3">
        <v>4</v>
      </c>
      <c r="D187" s="2">
        <v>6320.2416000000003</v>
      </c>
      <c r="E187" s="2">
        <v>9</v>
      </c>
      <c r="F187" s="4" t="s">
        <v>270</v>
      </c>
    </row>
    <row r="188" spans="1:9" x14ac:dyDescent="0.25">
      <c r="A188" s="3" t="s">
        <v>110</v>
      </c>
      <c r="B188" s="3">
        <v>3</v>
      </c>
      <c r="C188" s="3">
        <v>4</v>
      </c>
      <c r="D188" s="2">
        <v>16930.9856</v>
      </c>
      <c r="E188" s="2">
        <v>9</v>
      </c>
      <c r="F188" s="4" t="s">
        <v>271</v>
      </c>
    </row>
    <row r="190" spans="1:9" ht="18.75" x14ac:dyDescent="0.25">
      <c r="A190" s="1" t="s">
        <v>111</v>
      </c>
    </row>
    <row r="192" spans="1:9" ht="28.5" x14ac:dyDescent="0.25">
      <c r="A192" s="2"/>
      <c r="B192" s="3" t="s">
        <v>42</v>
      </c>
      <c r="C192" s="3" t="s">
        <v>105</v>
      </c>
      <c r="D192" s="3" t="s">
        <v>43</v>
      </c>
      <c r="E192" s="3" t="s">
        <v>105</v>
      </c>
      <c r="F192" s="3" t="s">
        <v>44</v>
      </c>
      <c r="G192" s="3" t="s">
        <v>105</v>
      </c>
      <c r="H192" s="3" t="s">
        <v>45</v>
      </c>
      <c r="I192" s="3" t="s">
        <v>105</v>
      </c>
    </row>
    <row r="193" spans="1:9" x14ac:dyDescent="0.25">
      <c r="A193" s="3" t="s">
        <v>112</v>
      </c>
      <c r="B193" s="2">
        <v>0.65739999999999998</v>
      </c>
      <c r="C193" s="2">
        <v>5521504.1527000004</v>
      </c>
      <c r="D193" s="2">
        <v>0.16619999999999999</v>
      </c>
      <c r="E193" s="2">
        <v>1362433.5288</v>
      </c>
      <c r="F193" s="2">
        <v>0.15989999999999999</v>
      </c>
      <c r="G193" s="2">
        <v>7436551.3340999996</v>
      </c>
      <c r="H193" s="2">
        <v>1.6500000000000001E-2</v>
      </c>
      <c r="I193" s="2">
        <v>601919.09759999998</v>
      </c>
    </row>
    <row r="194" spans="1:9" x14ac:dyDescent="0.25">
      <c r="A194" s="3" t="s">
        <v>107</v>
      </c>
      <c r="B194" s="2"/>
      <c r="C194" s="2"/>
      <c r="D194" s="2"/>
      <c r="E194" s="2"/>
      <c r="F194" s="2"/>
      <c r="G194" s="2"/>
      <c r="H194" s="2"/>
      <c r="I194" s="2"/>
    </row>
    <row r="195" spans="1:9" x14ac:dyDescent="0.25">
      <c r="A195" s="3" t="s">
        <v>264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>
        <v>45</v>
      </c>
      <c r="B196" s="2">
        <v>5.1799999999999999E-2</v>
      </c>
      <c r="C196" s="2" t="s">
        <v>11</v>
      </c>
      <c r="D196" s="2">
        <v>5.7099999999999998E-2</v>
      </c>
      <c r="E196" s="2" t="s">
        <v>11</v>
      </c>
      <c r="F196" s="2">
        <v>0.1366</v>
      </c>
      <c r="G196" s="2" t="s">
        <v>11</v>
      </c>
      <c r="H196" s="2">
        <v>0.1147</v>
      </c>
      <c r="I196" s="2" t="s">
        <v>11</v>
      </c>
    </row>
    <row r="197" spans="1:9" x14ac:dyDescent="0.25">
      <c r="A197" s="3">
        <v>1516</v>
      </c>
      <c r="B197" s="2">
        <v>9.2600000000000002E-2</v>
      </c>
      <c r="C197" s="2" t="s">
        <v>11</v>
      </c>
      <c r="D197" s="2">
        <v>5.8099999999999999E-2</v>
      </c>
      <c r="E197" s="2" t="s">
        <v>11</v>
      </c>
      <c r="F197" s="2">
        <v>5.8599999999999999E-2</v>
      </c>
      <c r="G197" s="2" t="s">
        <v>11</v>
      </c>
      <c r="H197" s="2">
        <v>0.1153</v>
      </c>
      <c r="I197" s="2" t="s">
        <v>11</v>
      </c>
    </row>
    <row r="198" spans="1:9" x14ac:dyDescent="0.25">
      <c r="A198" s="3">
        <v>2728</v>
      </c>
      <c r="B198" s="2">
        <v>3.7199999999999997E-2</v>
      </c>
      <c r="C198" s="2" t="s">
        <v>11</v>
      </c>
      <c r="D198" s="2">
        <v>7.9600000000000004E-2</v>
      </c>
      <c r="E198" s="2" t="s">
        <v>11</v>
      </c>
      <c r="F198" s="2">
        <v>0.06</v>
      </c>
      <c r="G198" s="2" t="s">
        <v>11</v>
      </c>
      <c r="H198" s="2">
        <v>0</v>
      </c>
      <c r="I198" s="2" t="s">
        <v>11</v>
      </c>
    </row>
    <row r="199" spans="1:9" x14ac:dyDescent="0.25">
      <c r="A199" s="3">
        <v>6472</v>
      </c>
      <c r="B199" s="2">
        <v>3.6600000000000001E-2</v>
      </c>
      <c r="C199" s="2" t="s">
        <v>11</v>
      </c>
      <c r="D199" s="2">
        <v>7.8700000000000006E-2</v>
      </c>
      <c r="E199" s="2" t="s">
        <v>11</v>
      </c>
      <c r="F199" s="2">
        <v>2.8400000000000002E-2</v>
      </c>
      <c r="G199" s="2" t="s">
        <v>11</v>
      </c>
      <c r="H199" s="2">
        <v>0.1583</v>
      </c>
      <c r="I199" s="2" t="s">
        <v>11</v>
      </c>
    </row>
    <row r="200" spans="1:9" x14ac:dyDescent="0.25">
      <c r="A200" s="3">
        <v>171819</v>
      </c>
      <c r="B200" s="2">
        <v>5.16E-2</v>
      </c>
      <c r="C200" s="2" t="s">
        <v>11</v>
      </c>
      <c r="D200" s="2">
        <v>6.0499999999999998E-2</v>
      </c>
      <c r="E200" s="2" t="s">
        <v>11</v>
      </c>
      <c r="F200" s="2">
        <v>3.9600000000000003E-2</v>
      </c>
      <c r="G200" s="2" t="s">
        <v>11</v>
      </c>
      <c r="H200" s="2">
        <v>4.0800000000000003E-2</v>
      </c>
      <c r="I200" s="2" t="s">
        <v>11</v>
      </c>
    </row>
    <row r="201" spans="1:9" x14ac:dyDescent="0.25">
      <c r="A201" s="3">
        <v>242526</v>
      </c>
      <c r="B201" s="2">
        <v>8.0699999999999994E-2</v>
      </c>
      <c r="C201" s="2" t="s">
        <v>11</v>
      </c>
      <c r="D201" s="2">
        <v>7.4899999999999994E-2</v>
      </c>
      <c r="E201" s="2" t="s">
        <v>11</v>
      </c>
      <c r="F201" s="2">
        <v>7.3999999999999996E-2</v>
      </c>
      <c r="G201" s="2" t="s">
        <v>11</v>
      </c>
      <c r="H201" s="2">
        <v>0</v>
      </c>
      <c r="I201" s="2" t="s">
        <v>11</v>
      </c>
    </row>
    <row r="202" spans="1:9" x14ac:dyDescent="0.25">
      <c r="A202" s="3">
        <v>606162</v>
      </c>
      <c r="B202" s="2">
        <v>4.9299999999999997E-2</v>
      </c>
      <c r="C202" s="2" t="s">
        <v>11</v>
      </c>
      <c r="D202" s="2">
        <v>5.4600000000000003E-2</v>
      </c>
      <c r="E202" s="2" t="s">
        <v>11</v>
      </c>
      <c r="F202" s="2">
        <v>2.1299999999999999E-2</v>
      </c>
      <c r="G202" s="2" t="s">
        <v>11</v>
      </c>
      <c r="H202" s="2">
        <v>3.5999999999999997E-2</v>
      </c>
      <c r="I202" s="2" t="s">
        <v>11</v>
      </c>
    </row>
    <row r="203" spans="1:9" x14ac:dyDescent="0.25">
      <c r="A203" s="3">
        <v>20362122</v>
      </c>
      <c r="B203" s="2">
        <v>3.9899999999999998E-2</v>
      </c>
      <c r="C203" s="2" t="s">
        <v>11</v>
      </c>
      <c r="D203" s="2">
        <v>3.2300000000000002E-2</v>
      </c>
      <c r="E203" s="2" t="s">
        <v>11</v>
      </c>
      <c r="F203" s="2">
        <v>2.7900000000000001E-2</v>
      </c>
      <c r="G203" s="2" t="s">
        <v>11</v>
      </c>
      <c r="H203" s="2">
        <v>0</v>
      </c>
      <c r="I203" s="2" t="s">
        <v>11</v>
      </c>
    </row>
    <row r="204" spans="1:9" x14ac:dyDescent="0.25">
      <c r="A204" s="5">
        <v>5052000000</v>
      </c>
      <c r="B204" s="2">
        <v>0.47960000000000003</v>
      </c>
      <c r="C204" s="2" t="s">
        <v>11</v>
      </c>
      <c r="D204" s="2">
        <v>0.45200000000000001</v>
      </c>
      <c r="E204" s="2" t="s">
        <v>11</v>
      </c>
      <c r="F204" s="2">
        <v>0.50490000000000002</v>
      </c>
      <c r="G204" s="2" t="s">
        <v>11</v>
      </c>
      <c r="H204" s="2">
        <v>0.40029999999999999</v>
      </c>
      <c r="I204" s="2" t="s">
        <v>11</v>
      </c>
    </row>
    <row r="205" spans="1:9" x14ac:dyDescent="0.25">
      <c r="A205" s="5">
        <v>293100000000</v>
      </c>
      <c r="B205" s="2">
        <v>8.0799999999999997E-2</v>
      </c>
      <c r="C205" s="2" t="s">
        <v>11</v>
      </c>
      <c r="D205" s="2">
        <v>5.21E-2</v>
      </c>
      <c r="E205" s="2" t="s">
        <v>11</v>
      </c>
      <c r="F205" s="2">
        <v>4.87E-2</v>
      </c>
      <c r="G205" s="2" t="s">
        <v>11</v>
      </c>
      <c r="H205" s="2">
        <v>0.13450000000000001</v>
      </c>
      <c r="I205" s="2" t="s">
        <v>11</v>
      </c>
    </row>
    <row r="207" spans="1:9" ht="18.75" x14ac:dyDescent="0.25">
      <c r="A207" s="1" t="s">
        <v>113</v>
      </c>
    </row>
    <row r="209" spans="1:5" x14ac:dyDescent="0.25">
      <c r="A209" s="2"/>
      <c r="B209" s="3" t="s">
        <v>42</v>
      </c>
      <c r="C209" s="3" t="s">
        <v>43</v>
      </c>
      <c r="D209" s="3" t="s">
        <v>44</v>
      </c>
      <c r="E209" s="3" t="s">
        <v>45</v>
      </c>
    </row>
    <row r="210" spans="1:5" x14ac:dyDescent="0.25">
      <c r="A210" s="3" t="s">
        <v>114</v>
      </c>
      <c r="B210" s="2">
        <v>0.65739999999999998</v>
      </c>
      <c r="C210" s="2">
        <v>0.16619999999999999</v>
      </c>
      <c r="D210" s="2">
        <v>0.15989999999999999</v>
      </c>
      <c r="E210" s="2">
        <v>1.6500000000000001E-2</v>
      </c>
    </row>
    <row r="211" spans="1:5" x14ac:dyDescent="0.25">
      <c r="A211" s="3" t="s">
        <v>107</v>
      </c>
      <c r="B211" s="2"/>
      <c r="C211" s="2"/>
      <c r="D211" s="2"/>
      <c r="E211" s="2"/>
    </row>
    <row r="212" spans="1:5" x14ac:dyDescent="0.25">
      <c r="A212" s="3" t="s">
        <v>264</v>
      </c>
      <c r="B212" s="2"/>
      <c r="C212" s="2"/>
      <c r="D212" s="2"/>
      <c r="E212" s="2"/>
    </row>
    <row r="213" spans="1:5" x14ac:dyDescent="0.25">
      <c r="A213" s="3">
        <v>45</v>
      </c>
      <c r="B213" s="2">
        <v>0.50609999999999999</v>
      </c>
      <c r="C213" s="2">
        <v>0.1411</v>
      </c>
      <c r="D213" s="2">
        <v>0.3246</v>
      </c>
      <c r="E213" s="2">
        <v>2.8199999999999999E-2</v>
      </c>
    </row>
    <row r="214" spans="1:5" x14ac:dyDescent="0.25">
      <c r="A214" s="3">
        <v>1516</v>
      </c>
      <c r="B214" s="2">
        <v>0.74419999999999997</v>
      </c>
      <c r="C214" s="2">
        <v>0.11799999999999999</v>
      </c>
      <c r="D214" s="2">
        <v>0.1144</v>
      </c>
      <c r="E214" s="2">
        <v>2.3300000000000001E-2</v>
      </c>
    </row>
    <row r="215" spans="1:5" x14ac:dyDescent="0.25">
      <c r="A215" s="3">
        <v>2728</v>
      </c>
      <c r="B215" s="2">
        <v>0.51719999999999999</v>
      </c>
      <c r="C215" s="2">
        <v>0.27979999999999999</v>
      </c>
      <c r="D215" s="2">
        <v>0.2031</v>
      </c>
      <c r="E215" s="2">
        <v>0</v>
      </c>
    </row>
    <row r="216" spans="1:5" x14ac:dyDescent="0.25">
      <c r="A216" s="3">
        <v>6472</v>
      </c>
      <c r="B216" s="2">
        <v>0.54339999999999999</v>
      </c>
      <c r="C216" s="2">
        <v>0.29509999999999997</v>
      </c>
      <c r="D216" s="2">
        <v>0.10249999999999999</v>
      </c>
      <c r="E216" s="2">
        <v>5.91E-2</v>
      </c>
    </row>
    <row r="217" spans="1:5" x14ac:dyDescent="0.25">
      <c r="A217" s="3">
        <v>171819</v>
      </c>
      <c r="B217" s="2">
        <v>0.66549999999999998</v>
      </c>
      <c r="C217" s="2">
        <v>0.1971</v>
      </c>
      <c r="D217" s="2">
        <v>0.1242</v>
      </c>
      <c r="E217" s="2">
        <v>1.32E-2</v>
      </c>
    </row>
    <row r="218" spans="1:5" x14ac:dyDescent="0.25">
      <c r="A218" s="3">
        <v>242526</v>
      </c>
      <c r="B218" s="2">
        <v>0.68589999999999995</v>
      </c>
      <c r="C218" s="2">
        <v>0.161</v>
      </c>
      <c r="D218" s="2">
        <v>0.15310000000000001</v>
      </c>
      <c r="E218" s="2">
        <v>0</v>
      </c>
    </row>
    <row r="219" spans="1:5" x14ac:dyDescent="0.25">
      <c r="A219" s="3">
        <v>606162</v>
      </c>
      <c r="B219" s="2">
        <v>0.71220000000000006</v>
      </c>
      <c r="C219" s="2">
        <v>0.19969999999999999</v>
      </c>
      <c r="D219" s="2">
        <v>7.4999999999999997E-2</v>
      </c>
      <c r="E219" s="2">
        <v>1.3100000000000001E-2</v>
      </c>
    </row>
    <row r="220" spans="1:5" x14ac:dyDescent="0.25">
      <c r="A220" s="3">
        <v>20362122</v>
      </c>
      <c r="B220" s="2">
        <v>0.72729999999999995</v>
      </c>
      <c r="C220" s="2">
        <v>0.14899999999999999</v>
      </c>
      <c r="D220" s="2">
        <v>0.1237</v>
      </c>
      <c r="E220" s="2">
        <v>0</v>
      </c>
    </row>
    <row r="221" spans="1:5" x14ac:dyDescent="0.25">
      <c r="A221" s="5">
        <v>5052000000</v>
      </c>
      <c r="B221" s="2">
        <v>0.66</v>
      </c>
      <c r="C221" s="2">
        <v>0.15720000000000001</v>
      </c>
      <c r="D221" s="2">
        <v>0.16900000000000001</v>
      </c>
      <c r="E221" s="2">
        <v>1.3899999999999999E-2</v>
      </c>
    </row>
    <row r="222" spans="1:5" x14ac:dyDescent="0.25">
      <c r="A222" s="5">
        <v>293100000000</v>
      </c>
      <c r="B222" s="2">
        <v>0.74</v>
      </c>
      <c r="C222" s="2">
        <v>0.1206</v>
      </c>
      <c r="D222" s="2">
        <v>0.1085</v>
      </c>
      <c r="E222" s="2">
        <v>3.1E-2</v>
      </c>
    </row>
    <row r="224" spans="1:5" ht="18.75" x14ac:dyDescent="0.25">
      <c r="A224" s="1" t="s">
        <v>115</v>
      </c>
    </row>
    <row r="226" spans="1:9" x14ac:dyDescent="0.25">
      <c r="A226" s="2"/>
      <c r="B226" s="35" t="s">
        <v>110</v>
      </c>
      <c r="C226" s="36"/>
      <c r="D226" s="36"/>
      <c r="E226" s="36"/>
      <c r="F226" s="36"/>
      <c r="G226" s="36"/>
      <c r="H226" s="36"/>
      <c r="I226" s="37"/>
    </row>
    <row r="227" spans="1:9" x14ac:dyDescent="0.25">
      <c r="A227" s="3" t="s">
        <v>264</v>
      </c>
      <c r="B227" s="3">
        <v>1</v>
      </c>
      <c r="C227" s="3" t="s">
        <v>105</v>
      </c>
      <c r="D227" s="3">
        <v>2</v>
      </c>
      <c r="E227" s="3" t="s">
        <v>105</v>
      </c>
      <c r="F227" s="3">
        <v>3</v>
      </c>
      <c r="G227" s="3" t="s">
        <v>105</v>
      </c>
      <c r="H227" s="3">
        <v>4</v>
      </c>
      <c r="I227" s="3" t="s">
        <v>105</v>
      </c>
    </row>
    <row r="228" spans="1:9" x14ac:dyDescent="0.25">
      <c r="A228" s="3">
        <v>45</v>
      </c>
      <c r="B228" s="2">
        <v>0.50609999999999999</v>
      </c>
      <c r="C228" s="2">
        <v>8.1900000000000001E-2</v>
      </c>
      <c r="D228" s="2">
        <v>0.1411</v>
      </c>
      <c r="E228" s="2">
        <v>5.57E-2</v>
      </c>
      <c r="F228" s="2">
        <v>0.3246</v>
      </c>
      <c r="G228" s="2">
        <v>7.6200000000000004E-2</v>
      </c>
      <c r="H228" s="2">
        <v>2.8199999999999999E-2</v>
      </c>
      <c r="I228" s="2">
        <v>1.2999999999999999E-2</v>
      </c>
    </row>
    <row r="229" spans="1:9" x14ac:dyDescent="0.25">
      <c r="A229" s="3">
        <v>1516</v>
      </c>
      <c r="B229" s="2">
        <v>0.74419999999999997</v>
      </c>
      <c r="C229" s="2">
        <v>4.07E-2</v>
      </c>
      <c r="D229" s="2">
        <v>0.11799999999999999</v>
      </c>
      <c r="E229" s="2">
        <v>2.8000000000000001E-2</v>
      </c>
      <c r="F229" s="2">
        <v>0.1144</v>
      </c>
      <c r="G229" s="2">
        <v>2.6800000000000001E-2</v>
      </c>
      <c r="H229" s="2">
        <v>2.3300000000000001E-2</v>
      </c>
      <c r="I229" s="2">
        <v>2.2200000000000001E-2</v>
      </c>
    </row>
    <row r="230" spans="1:9" x14ac:dyDescent="0.25">
      <c r="A230" s="3">
        <v>2728</v>
      </c>
      <c r="B230" s="2">
        <v>0.51719999999999999</v>
      </c>
      <c r="C230" s="2">
        <v>9.7500000000000003E-2</v>
      </c>
      <c r="D230" s="2">
        <v>0.27979999999999999</v>
      </c>
      <c r="E230" s="2">
        <v>9.5799999999999996E-2</v>
      </c>
      <c r="F230" s="2">
        <v>0.2031</v>
      </c>
      <c r="G230" s="2">
        <v>7.6899999999999996E-2</v>
      </c>
      <c r="H230" s="2">
        <v>0</v>
      </c>
      <c r="I230" s="2" t="s">
        <v>11</v>
      </c>
    </row>
    <row r="231" spans="1:9" x14ac:dyDescent="0.25">
      <c r="A231" s="3">
        <v>6472</v>
      </c>
      <c r="B231" s="2">
        <v>0.54339999999999999</v>
      </c>
      <c r="C231" s="2">
        <v>0.11260000000000001</v>
      </c>
      <c r="D231" s="2">
        <v>0.29509999999999997</v>
      </c>
      <c r="E231" s="2">
        <v>0.112</v>
      </c>
      <c r="F231" s="2">
        <v>0.10249999999999999</v>
      </c>
      <c r="G231" s="2">
        <v>5.5800000000000002E-2</v>
      </c>
      <c r="H231" s="2">
        <v>5.91E-2</v>
      </c>
      <c r="I231" s="2">
        <v>3.6200000000000003E-2</v>
      </c>
    </row>
    <row r="232" spans="1:9" x14ac:dyDescent="0.25">
      <c r="A232" s="3">
        <v>171819</v>
      </c>
      <c r="B232" s="2">
        <v>0.66549999999999998</v>
      </c>
      <c r="C232" s="2">
        <v>6.9099999999999995E-2</v>
      </c>
      <c r="D232" s="2">
        <v>0.1971</v>
      </c>
      <c r="E232" s="2">
        <v>7.3999999999999996E-2</v>
      </c>
      <c r="F232" s="2">
        <v>0.1242</v>
      </c>
      <c r="G232" s="2">
        <v>3.2399999999999998E-2</v>
      </c>
      <c r="H232" s="2">
        <v>1.32E-2</v>
      </c>
      <c r="I232" s="2">
        <v>8.0999999999999996E-3</v>
      </c>
    </row>
    <row r="233" spans="1:9" x14ac:dyDescent="0.25">
      <c r="A233" s="3">
        <v>242526</v>
      </c>
      <c r="B233" s="2">
        <v>0.68589999999999995</v>
      </c>
      <c r="C233" s="2">
        <v>6251017.1732000001</v>
      </c>
      <c r="D233" s="2">
        <v>0.161</v>
      </c>
      <c r="E233" s="2">
        <v>1466929.2426</v>
      </c>
      <c r="F233" s="2">
        <v>0.15310000000000001</v>
      </c>
      <c r="G233" s="2">
        <v>7717946.4157999996</v>
      </c>
      <c r="H233" s="2">
        <v>0</v>
      </c>
      <c r="I233" s="2">
        <v>0</v>
      </c>
    </row>
    <row r="234" spans="1:9" x14ac:dyDescent="0.25">
      <c r="A234" s="3">
        <v>606162</v>
      </c>
      <c r="B234" s="2">
        <v>0.71220000000000006</v>
      </c>
      <c r="C234" s="2">
        <v>9.4299999999999995E-2</v>
      </c>
      <c r="D234" s="2">
        <v>0.19969999999999999</v>
      </c>
      <c r="E234" s="2">
        <v>9.64E-2</v>
      </c>
      <c r="F234" s="2">
        <v>7.4999999999999997E-2</v>
      </c>
      <c r="G234" s="2">
        <v>4.1200000000000001E-2</v>
      </c>
      <c r="H234" s="2">
        <v>1.3100000000000001E-2</v>
      </c>
      <c r="I234" s="2">
        <v>1.37E-2</v>
      </c>
    </row>
    <row r="235" spans="1:9" x14ac:dyDescent="0.25">
      <c r="A235" s="3">
        <v>20362122</v>
      </c>
      <c r="B235" s="2">
        <v>0.72729999999999995</v>
      </c>
      <c r="C235" s="2">
        <v>4378778.8141000001</v>
      </c>
      <c r="D235" s="2">
        <v>0.14899999999999999</v>
      </c>
      <c r="E235" s="2">
        <v>896822.4314</v>
      </c>
      <c r="F235" s="2">
        <v>0.1237</v>
      </c>
      <c r="G235" s="2">
        <v>5275601.2455000002</v>
      </c>
      <c r="H235" s="2">
        <v>0</v>
      </c>
      <c r="I235" s="2" t="s">
        <v>11</v>
      </c>
    </row>
    <row r="236" spans="1:9" x14ac:dyDescent="0.25">
      <c r="A236" s="5">
        <v>5052000000</v>
      </c>
      <c r="B236" s="2">
        <v>0.66</v>
      </c>
      <c r="C236" s="2">
        <v>12486924.905300001</v>
      </c>
      <c r="D236" s="2">
        <v>0.15720000000000001</v>
      </c>
      <c r="E236" s="2">
        <v>2974473.6554999999</v>
      </c>
      <c r="F236" s="2">
        <v>0.16900000000000001</v>
      </c>
      <c r="G236" s="2">
        <v>17414642.9989</v>
      </c>
      <c r="H236" s="2">
        <v>1.3899999999999999E-2</v>
      </c>
      <c r="I236" s="2">
        <v>1953244.4380999999</v>
      </c>
    </row>
    <row r="237" spans="1:9" x14ac:dyDescent="0.25">
      <c r="A237" s="5">
        <v>293100000000</v>
      </c>
      <c r="B237" s="2">
        <v>0.74</v>
      </c>
      <c r="C237" s="2">
        <v>10513185.4549</v>
      </c>
      <c r="D237" s="2">
        <v>0.1206</v>
      </c>
      <c r="E237" s="2">
        <v>1712770.8259000001</v>
      </c>
      <c r="F237" s="2">
        <v>0.1085</v>
      </c>
      <c r="G237" s="2">
        <v>18346663.585700002</v>
      </c>
      <c r="H237" s="2">
        <v>3.1E-2</v>
      </c>
      <c r="I237" s="2">
        <v>6120707.3048</v>
      </c>
    </row>
    <row r="238" spans="1:9" x14ac:dyDescent="0.25">
      <c r="A238" s="38"/>
      <c r="B238" s="39"/>
      <c r="C238" s="39"/>
      <c r="D238" s="39"/>
      <c r="E238" s="39"/>
      <c r="F238" s="39"/>
      <c r="G238" s="39"/>
      <c r="H238" s="39"/>
      <c r="I238" s="40"/>
    </row>
    <row r="239" spans="1:9" x14ac:dyDescent="0.25">
      <c r="A239" s="2"/>
      <c r="B239" s="35" t="s">
        <v>116</v>
      </c>
      <c r="C239" s="36"/>
      <c r="D239" s="36"/>
      <c r="E239" s="36"/>
      <c r="F239" s="36"/>
      <c r="G239" s="36"/>
      <c r="H239" s="36"/>
      <c r="I239" s="37"/>
    </row>
    <row r="240" spans="1:9" x14ac:dyDescent="0.25">
      <c r="A240" s="3" t="s">
        <v>110</v>
      </c>
      <c r="B240" s="3" t="s">
        <v>88</v>
      </c>
      <c r="C240" s="3" t="s">
        <v>105</v>
      </c>
      <c r="D240" s="3" t="s">
        <v>90</v>
      </c>
      <c r="E240" s="3" t="s">
        <v>105</v>
      </c>
      <c r="F240" s="3" t="s">
        <v>91</v>
      </c>
      <c r="G240" s="3" t="s">
        <v>105</v>
      </c>
      <c r="H240" s="3" t="s">
        <v>92</v>
      </c>
      <c r="I240" s="3" t="s">
        <v>105</v>
      </c>
    </row>
    <row r="241" spans="1:9" x14ac:dyDescent="0.25">
      <c r="A241" s="3">
        <v>1</v>
      </c>
      <c r="B241" s="2">
        <v>0.95299999999999996</v>
      </c>
      <c r="C241" s="2" t="s">
        <v>11</v>
      </c>
      <c r="D241" s="2">
        <v>3.7100000000000001E-2</v>
      </c>
      <c r="E241" s="2" t="s">
        <v>11</v>
      </c>
      <c r="F241" s="2">
        <v>9.4000000000000004E-3</v>
      </c>
      <c r="G241" s="2" t="s">
        <v>11</v>
      </c>
      <c r="H241" s="2">
        <v>5.0000000000000001E-4</v>
      </c>
      <c r="I241" s="2" t="s">
        <v>11</v>
      </c>
    </row>
    <row r="242" spans="1:9" x14ac:dyDescent="0.25">
      <c r="A242" s="3">
        <v>2</v>
      </c>
      <c r="B242" s="2">
        <v>0.1469</v>
      </c>
      <c r="C242" s="2" t="s">
        <v>11</v>
      </c>
      <c r="D242" s="2">
        <v>0.80220000000000002</v>
      </c>
      <c r="E242" s="2" t="s">
        <v>11</v>
      </c>
      <c r="F242" s="2">
        <v>5.0700000000000002E-2</v>
      </c>
      <c r="G242" s="2" t="s">
        <v>11</v>
      </c>
      <c r="H242" s="2">
        <v>2.0000000000000001E-4</v>
      </c>
      <c r="I242" s="2" t="s">
        <v>11</v>
      </c>
    </row>
    <row r="243" spans="1:9" x14ac:dyDescent="0.25">
      <c r="A243" s="3">
        <v>3</v>
      </c>
      <c r="B243" s="2">
        <v>3.85E-2</v>
      </c>
      <c r="C243" s="2" t="s">
        <v>11</v>
      </c>
      <c r="D243" s="2">
        <v>5.2600000000000001E-2</v>
      </c>
      <c r="E243" s="2" t="s">
        <v>11</v>
      </c>
      <c r="F243" s="2">
        <v>0.90580000000000005</v>
      </c>
      <c r="G243" s="2" t="s">
        <v>11</v>
      </c>
      <c r="H243" s="2">
        <v>3.0000000000000001E-3</v>
      </c>
      <c r="I243" s="2" t="s">
        <v>11</v>
      </c>
    </row>
    <row r="244" spans="1:9" x14ac:dyDescent="0.25">
      <c r="A244" s="3">
        <v>4</v>
      </c>
      <c r="B244" s="2">
        <v>1.9400000000000001E-2</v>
      </c>
      <c r="C244" s="2" t="s">
        <v>11</v>
      </c>
      <c r="D244" s="2">
        <v>2E-3</v>
      </c>
      <c r="E244" s="2" t="s">
        <v>11</v>
      </c>
      <c r="F244" s="2">
        <v>2.9399999999999999E-2</v>
      </c>
      <c r="G244" s="2" t="s">
        <v>11</v>
      </c>
      <c r="H244" s="2">
        <v>0.94920000000000004</v>
      </c>
      <c r="I244" s="2" t="s">
        <v>11</v>
      </c>
    </row>
  </sheetData>
  <mergeCells count="5">
    <mergeCell ref="A3:F3"/>
    <mergeCell ref="B69:F69"/>
    <mergeCell ref="B226:I226"/>
    <mergeCell ref="A238:I238"/>
    <mergeCell ref="B239:I239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P481"/>
  <sheetViews>
    <sheetView workbookViewId="0">
      <selection activeCell="A220" sqref="A220"/>
    </sheetView>
  </sheetViews>
  <sheetFormatPr defaultColWidth="36.28515625" defaultRowHeight="15" x14ac:dyDescent="0.25"/>
  <sheetData>
    <row r="1" spans="1:6" ht="37.5" x14ac:dyDescent="0.25">
      <c r="A1" s="1" t="s">
        <v>165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13400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16.5397</v>
      </c>
      <c r="C7" s="2"/>
      <c r="D7" s="2"/>
      <c r="E7" s="2"/>
      <c r="F7" s="2"/>
    </row>
    <row r="8" spans="1:6" x14ac:dyDescent="0.25">
      <c r="A8" s="3" t="s">
        <v>4</v>
      </c>
      <c r="B8" s="2">
        <v>16.5397</v>
      </c>
      <c r="C8" s="2"/>
      <c r="D8" s="2"/>
      <c r="E8" s="2"/>
      <c r="F8" s="2"/>
    </row>
    <row r="9" spans="1:6" x14ac:dyDescent="0.25">
      <c r="A9" s="3" t="s">
        <v>5</v>
      </c>
      <c r="B9" s="2">
        <v>450501</v>
      </c>
      <c r="C9" s="2"/>
      <c r="D9" s="2"/>
      <c r="E9" s="2"/>
      <c r="F9" s="2"/>
    </row>
    <row r="10" spans="1:6" x14ac:dyDescent="0.25">
      <c r="A10" s="3" t="s">
        <v>6</v>
      </c>
      <c r="B10" s="2">
        <v>450501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759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5168.3271999999997</v>
      </c>
      <c r="C14" s="4" t="s">
        <v>166</v>
      </c>
      <c r="D14" s="2"/>
      <c r="E14" s="2"/>
      <c r="F14" s="2"/>
    </row>
    <row r="15" spans="1:6" x14ac:dyDescent="0.25">
      <c r="A15" s="3" t="s">
        <v>12</v>
      </c>
      <c r="B15" s="2">
        <v>6840.9566000000004</v>
      </c>
      <c r="C15" s="4" t="s">
        <v>167</v>
      </c>
      <c r="D15" s="2"/>
      <c r="E15" s="2"/>
      <c r="F15" s="2"/>
    </row>
    <row r="16" spans="1:6" x14ac:dyDescent="0.25">
      <c r="A16" s="3" t="s">
        <v>13</v>
      </c>
      <c r="B16" s="2">
        <v>5742.2867999999999</v>
      </c>
      <c r="C16" s="4" t="s">
        <v>168</v>
      </c>
      <c r="D16" s="2"/>
      <c r="E16" s="2"/>
      <c r="F16" s="2"/>
    </row>
    <row r="17" spans="1:6" x14ac:dyDescent="0.25">
      <c r="A17" s="3" t="s">
        <v>14</v>
      </c>
      <c r="B17" s="2">
        <v>-2044.4574</v>
      </c>
      <c r="C17" s="2"/>
      <c r="D17" s="2"/>
      <c r="E17" s="2"/>
      <c r="F17" s="2"/>
    </row>
    <row r="18" spans="1:6" x14ac:dyDescent="0.25">
      <c r="A18" s="3" t="s">
        <v>15</v>
      </c>
      <c r="B18" s="2">
        <v>3650.3272000000002</v>
      </c>
      <c r="C18" s="2"/>
      <c r="D18" s="2"/>
      <c r="E18" s="2"/>
      <c r="F18" s="2"/>
    </row>
    <row r="19" spans="1:6" x14ac:dyDescent="0.25">
      <c r="A19" s="3" t="s">
        <v>16</v>
      </c>
      <c r="B19" s="2">
        <v>2891.3272000000002</v>
      </c>
      <c r="C19" s="2"/>
      <c r="D19" s="2"/>
      <c r="E19" s="2"/>
      <c r="F19" s="2"/>
    </row>
    <row r="20" spans="1:6" x14ac:dyDescent="0.25">
      <c r="A20" s="3" t="s">
        <v>17</v>
      </c>
      <c r="B20" s="2">
        <v>-2803.4573999999998</v>
      </c>
      <c r="C20" s="2"/>
      <c r="D20" s="2"/>
      <c r="E20" s="2"/>
      <c r="F20" s="2"/>
    </row>
    <row r="21" spans="1:6" x14ac:dyDescent="0.25">
      <c r="A21" s="3" t="s">
        <v>18</v>
      </c>
      <c r="B21" s="2">
        <v>367.57220000000001</v>
      </c>
      <c r="C21" s="2"/>
      <c r="D21" s="2"/>
      <c r="E21" s="2"/>
      <c r="F21" s="2"/>
    </row>
    <row r="22" spans="1:6" x14ac:dyDescent="0.25">
      <c r="A22" s="3" t="s">
        <v>19</v>
      </c>
      <c r="B22" s="2">
        <v>0.2072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-12481.413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-12481.413</v>
      </c>
      <c r="C27" s="2"/>
      <c r="D27" s="2"/>
      <c r="E27" s="2"/>
      <c r="F27" s="2"/>
    </row>
    <row r="28" spans="1:6" x14ac:dyDescent="0.25">
      <c r="A28" s="3" t="s">
        <v>24</v>
      </c>
      <c r="B28" s="2">
        <v>25019.844000000001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24974.826000000001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24980.826000000001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25025.844000000001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25000.776600000001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0.3427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5.1000000000000004E-3</v>
      </c>
      <c r="C38" s="2"/>
      <c r="D38" s="2"/>
      <c r="E38" s="2"/>
      <c r="F38" s="2"/>
    </row>
    <row r="39" spans="1:6" x14ac:dyDescent="0.25">
      <c r="A39" s="3" t="s">
        <v>33</v>
      </c>
      <c r="B39" s="2">
        <v>4.8999999999999998E-3</v>
      </c>
      <c r="C39" s="2"/>
      <c r="D39" s="2"/>
      <c r="E39" s="2"/>
      <c r="F39" s="2"/>
    </row>
    <row r="40" spans="1:6" x14ac:dyDescent="0.25">
      <c r="A40" s="3" t="s">
        <v>34</v>
      </c>
      <c r="B40" s="2">
        <v>-24943.338599999999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12461.9256</v>
      </c>
      <c r="C41" s="2"/>
      <c r="D41" s="2"/>
      <c r="E41" s="2"/>
      <c r="F41" s="2"/>
    </row>
    <row r="42" spans="1:6" x14ac:dyDescent="0.25">
      <c r="A42" s="3" t="s">
        <v>36</v>
      </c>
      <c r="B42" s="2">
        <v>49886.677100000001</v>
      </c>
      <c r="C42" s="2"/>
      <c r="D42" s="2"/>
      <c r="E42" s="2"/>
      <c r="F42" s="2"/>
    </row>
    <row r="43" spans="1:6" x14ac:dyDescent="0.25">
      <c r="A43" s="3" t="s">
        <v>37</v>
      </c>
      <c r="B43" s="2">
        <v>50018.713300000003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49943.695200000002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8808.3228999999992</v>
      </c>
      <c r="C48" s="2">
        <v>0</v>
      </c>
      <c r="D48" s="2">
        <v>0</v>
      </c>
      <c r="E48" s="2">
        <v>0</v>
      </c>
      <c r="F48" s="2">
        <v>8808.3228999999992</v>
      </c>
    </row>
    <row r="49" spans="1:6" x14ac:dyDescent="0.25">
      <c r="A49" s="3" t="s">
        <v>43</v>
      </c>
      <c r="B49" s="2">
        <v>2223.1257999999998</v>
      </c>
      <c r="C49" s="2">
        <v>0</v>
      </c>
      <c r="D49" s="2">
        <v>0</v>
      </c>
      <c r="E49" s="2">
        <v>0</v>
      </c>
      <c r="F49" s="2">
        <v>2223.1257999999998</v>
      </c>
    </row>
    <row r="50" spans="1:6" x14ac:dyDescent="0.25">
      <c r="A50" s="3" t="s">
        <v>44</v>
      </c>
      <c r="B50" s="2">
        <v>2148.4951999999998</v>
      </c>
      <c r="C50" s="2">
        <v>0</v>
      </c>
      <c r="D50" s="2">
        <v>0</v>
      </c>
      <c r="E50" s="2">
        <v>0</v>
      </c>
      <c r="F50" s="2">
        <v>2148.4951999999998</v>
      </c>
    </row>
    <row r="51" spans="1:6" x14ac:dyDescent="0.25">
      <c r="A51" s="3" t="s">
        <v>45</v>
      </c>
      <c r="B51" s="2">
        <v>220.05609999999999</v>
      </c>
      <c r="C51" s="2">
        <v>0</v>
      </c>
      <c r="D51" s="2">
        <v>0</v>
      </c>
      <c r="E51" s="2">
        <v>0</v>
      </c>
      <c r="F51" s="2">
        <v>220.05609999999999</v>
      </c>
    </row>
    <row r="52" spans="1:6" x14ac:dyDescent="0.25">
      <c r="A52" s="3" t="s">
        <v>46</v>
      </c>
      <c r="B52" s="2">
        <v>13400</v>
      </c>
      <c r="C52" s="2">
        <v>0</v>
      </c>
      <c r="D52" s="2">
        <v>0</v>
      </c>
      <c r="E52" s="2">
        <v>0</v>
      </c>
      <c r="F52" s="2">
        <v>13400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5810.6064999999999</v>
      </c>
      <c r="C56" s="2">
        <v>1450.6512</v>
      </c>
      <c r="D56" s="2">
        <v>1400.0232000000001</v>
      </c>
      <c r="E56" s="2">
        <v>147.042</v>
      </c>
      <c r="F56" s="2">
        <v>8808.3228999999992</v>
      </c>
    </row>
    <row r="57" spans="1:6" x14ac:dyDescent="0.25">
      <c r="A57" s="3" t="s">
        <v>43</v>
      </c>
      <c r="B57" s="2">
        <v>1450.6512</v>
      </c>
      <c r="C57" s="2">
        <v>374.39440000000002</v>
      </c>
      <c r="D57" s="2">
        <v>362.82530000000003</v>
      </c>
      <c r="E57" s="2">
        <v>35.254800000000003</v>
      </c>
      <c r="F57" s="2">
        <v>2223.1257999999998</v>
      </c>
    </row>
    <row r="58" spans="1:6" x14ac:dyDescent="0.25">
      <c r="A58" s="3" t="s">
        <v>44</v>
      </c>
      <c r="B58" s="2">
        <v>1400.0232000000001</v>
      </c>
      <c r="C58" s="2">
        <v>362.82530000000003</v>
      </c>
      <c r="D58" s="2">
        <v>351.79419999999999</v>
      </c>
      <c r="E58" s="2">
        <v>33.852499999999999</v>
      </c>
      <c r="F58" s="2">
        <v>2148.4951999999998</v>
      </c>
    </row>
    <row r="59" spans="1:6" x14ac:dyDescent="0.25">
      <c r="A59" s="3" t="s">
        <v>45</v>
      </c>
      <c r="B59" s="2">
        <v>147.042</v>
      </c>
      <c r="C59" s="2">
        <v>35.254800000000003</v>
      </c>
      <c r="D59" s="2">
        <v>33.852499999999999</v>
      </c>
      <c r="E59" s="2">
        <v>3.9068000000000001</v>
      </c>
      <c r="F59" s="2">
        <v>220.05609999999999</v>
      </c>
    </row>
    <row r="60" spans="1:6" x14ac:dyDescent="0.25">
      <c r="A60" s="3" t="s">
        <v>46</v>
      </c>
      <c r="B60" s="2">
        <v>8808.3228999999992</v>
      </c>
      <c r="C60" s="2">
        <v>2223.1257999999998</v>
      </c>
      <c r="D60" s="2">
        <v>2148.4951999999998</v>
      </c>
      <c r="E60" s="2">
        <v>220.05609999999999</v>
      </c>
      <c r="F60" s="2">
        <v>13400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0.3427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5.1000000000000004E-3</v>
      </c>
      <c r="C65" s="2"/>
      <c r="D65" s="2"/>
      <c r="E65" s="2"/>
      <c r="F65" s="2"/>
    </row>
    <row r="66" spans="1:6" x14ac:dyDescent="0.25">
      <c r="A66" s="3" t="s">
        <v>33</v>
      </c>
      <c r="B66" s="2">
        <v>4.8999999999999998E-3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450501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13400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169</v>
      </c>
      <c r="B140" s="2" t="s">
        <v>127</v>
      </c>
      <c r="C140" s="2">
        <v>255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0.04</v>
      </c>
      <c r="B142" s="2">
        <v>3.9999999000000001E-2</v>
      </c>
      <c r="C142" s="2">
        <v>3.9999999000000001E-2</v>
      </c>
      <c r="D142" s="2"/>
      <c r="E142" s="2"/>
      <c r="F142" s="2"/>
    </row>
    <row r="143" spans="1:6" x14ac:dyDescent="0.25">
      <c r="A143" s="3">
        <v>6.6600000000000006E-2</v>
      </c>
      <c r="B143" s="2">
        <v>6.6600002000000005E-2</v>
      </c>
      <c r="C143" s="2">
        <v>6.6600002000000005E-2</v>
      </c>
      <c r="D143" s="2"/>
      <c r="E143" s="2"/>
      <c r="F143" s="2"/>
    </row>
    <row r="144" spans="1:6" x14ac:dyDescent="0.25">
      <c r="A144" s="3">
        <v>0.08</v>
      </c>
      <c r="B144" s="2">
        <v>7.9999998000000003E-2</v>
      </c>
      <c r="C144" s="2">
        <v>7.9999998000000003E-2</v>
      </c>
      <c r="D144" s="2"/>
      <c r="E144" s="2"/>
      <c r="F144" s="2"/>
    </row>
    <row r="145" spans="1:6" x14ac:dyDescent="0.25">
      <c r="A145" s="3">
        <v>0.1066</v>
      </c>
      <c r="B145" s="2">
        <v>0.1066</v>
      </c>
      <c r="C145" s="2">
        <v>0.1066</v>
      </c>
      <c r="D145" s="2"/>
      <c r="E145" s="2"/>
      <c r="F145" s="2"/>
    </row>
    <row r="146" spans="1:6" x14ac:dyDescent="0.25">
      <c r="A146" s="3">
        <v>0.12</v>
      </c>
      <c r="B146" s="2">
        <v>0.12</v>
      </c>
      <c r="C146" s="2">
        <v>0.12</v>
      </c>
      <c r="D146" s="2"/>
      <c r="E146" s="2"/>
      <c r="F146" s="2"/>
    </row>
    <row r="147" spans="1:6" x14ac:dyDescent="0.25">
      <c r="A147" s="3">
        <v>0.13320000000000001</v>
      </c>
      <c r="B147" s="2">
        <v>0.13320000000000001</v>
      </c>
      <c r="C147" s="2">
        <v>0.13320000000000001</v>
      </c>
      <c r="D147" s="2"/>
      <c r="E147" s="2"/>
      <c r="F147" s="2"/>
    </row>
    <row r="148" spans="1:6" x14ac:dyDescent="0.25">
      <c r="A148" s="3">
        <v>0.13339999999999999</v>
      </c>
      <c r="B148" s="2">
        <v>0.13339999</v>
      </c>
      <c r="C148" s="2">
        <v>0.13339999</v>
      </c>
      <c r="D148" s="2"/>
      <c r="E148" s="2"/>
      <c r="F148" s="2"/>
    </row>
    <row r="149" spans="1:6" x14ac:dyDescent="0.25">
      <c r="A149" s="3">
        <v>0.14660000000000001</v>
      </c>
      <c r="B149" s="2">
        <v>0.14660001</v>
      </c>
      <c r="C149" s="2">
        <v>0.14660001</v>
      </c>
      <c r="D149" s="2"/>
      <c r="E149" s="2"/>
      <c r="F149" s="2"/>
    </row>
    <row r="150" spans="1:6" x14ac:dyDescent="0.25">
      <c r="A150" s="3">
        <v>0.16</v>
      </c>
      <c r="B150" s="2">
        <v>0.16</v>
      </c>
      <c r="C150" s="2">
        <v>0.16</v>
      </c>
      <c r="D150" s="2"/>
      <c r="E150" s="2"/>
      <c r="F150" s="2"/>
    </row>
    <row r="151" spans="1:6" x14ac:dyDescent="0.25">
      <c r="A151" s="3" t="s">
        <v>89</v>
      </c>
      <c r="B151" s="2"/>
      <c r="C151" s="2"/>
      <c r="D151" s="2"/>
      <c r="E151" s="2"/>
      <c r="F151" s="2"/>
    </row>
    <row r="152" spans="1:6" x14ac:dyDescent="0.25">
      <c r="A152" s="3">
        <v>0.88</v>
      </c>
      <c r="B152" s="2">
        <v>0.88</v>
      </c>
      <c r="C152" s="2">
        <v>0.88</v>
      </c>
      <c r="D152" s="2"/>
      <c r="E152" s="2"/>
      <c r="F152" s="2"/>
    </row>
    <row r="153" spans="1:6" x14ac:dyDescent="0.25">
      <c r="A153" s="3">
        <v>0.88339999999999996</v>
      </c>
      <c r="B153" s="2">
        <v>0.88340001999999995</v>
      </c>
      <c r="C153" s="2">
        <v>0.88340001999999995</v>
      </c>
      <c r="D153" s="2"/>
      <c r="E153" s="2"/>
      <c r="F153" s="2"/>
    </row>
    <row r="154" spans="1:6" x14ac:dyDescent="0.25">
      <c r="A154" s="3">
        <v>0.89339999999999997</v>
      </c>
      <c r="B154" s="2">
        <v>0.89340001000000002</v>
      </c>
      <c r="C154" s="2">
        <v>0.89340001000000002</v>
      </c>
      <c r="D154" s="2"/>
      <c r="E154" s="2"/>
      <c r="F154" s="2"/>
    </row>
    <row r="155" spans="1:6" x14ac:dyDescent="0.25">
      <c r="A155" s="3">
        <v>0.9</v>
      </c>
      <c r="B155" s="2">
        <v>0.89999998000000003</v>
      </c>
      <c r="C155" s="2">
        <v>0.89999998000000003</v>
      </c>
      <c r="D155" s="2"/>
      <c r="E155" s="2"/>
      <c r="F155" s="2"/>
    </row>
    <row r="156" spans="1:6" x14ac:dyDescent="0.25">
      <c r="A156" s="3">
        <v>0.91</v>
      </c>
      <c r="B156" s="2">
        <v>0.91000002999999996</v>
      </c>
      <c r="C156" s="2">
        <v>0.91000002999999996</v>
      </c>
      <c r="D156" s="2"/>
      <c r="E156" s="2"/>
      <c r="F156" s="2"/>
    </row>
    <row r="157" spans="1:6" x14ac:dyDescent="0.25">
      <c r="A157" s="3">
        <v>0.93340000000000001</v>
      </c>
      <c r="B157" s="2">
        <v>0.93339998000000002</v>
      </c>
      <c r="C157" s="2">
        <v>0.93339998000000002</v>
      </c>
      <c r="D157" s="2"/>
      <c r="E157" s="2"/>
      <c r="F157" s="2"/>
    </row>
    <row r="158" spans="1:6" x14ac:dyDescent="0.25">
      <c r="A158" s="3">
        <v>0.95</v>
      </c>
      <c r="B158" s="2">
        <v>0.94999999000000002</v>
      </c>
      <c r="C158" s="2">
        <v>0.94999999000000002</v>
      </c>
      <c r="D158" s="2"/>
      <c r="E158" s="2"/>
      <c r="F158" s="2"/>
    </row>
    <row r="159" spans="1:6" x14ac:dyDescent="0.25">
      <c r="A159" s="3">
        <v>0.96</v>
      </c>
      <c r="B159" s="2">
        <v>0.95999997999999997</v>
      </c>
      <c r="C159" s="2">
        <v>0.95999997999999997</v>
      </c>
      <c r="D159" s="2"/>
      <c r="E159" s="2"/>
      <c r="F159" s="2"/>
    </row>
    <row r="160" spans="1:6" x14ac:dyDescent="0.25">
      <c r="A160" s="3">
        <v>1</v>
      </c>
      <c r="B160" s="2">
        <v>1</v>
      </c>
      <c r="C160" s="2">
        <v>1</v>
      </c>
      <c r="D160" s="2"/>
      <c r="E160" s="2"/>
      <c r="F160" s="2"/>
    </row>
    <row r="162" spans="1:16" ht="18.75" x14ac:dyDescent="0.25">
      <c r="A162" s="1" t="s">
        <v>102</v>
      </c>
    </row>
    <row r="164" spans="1:16" x14ac:dyDescent="0.25">
      <c r="A164" s="3" t="s">
        <v>103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3" t="s">
        <v>104</v>
      </c>
      <c r="B165" s="3" t="s">
        <v>42</v>
      </c>
      <c r="C165" s="3" t="s">
        <v>105</v>
      </c>
      <c r="D165" s="3" t="s">
        <v>123</v>
      </c>
      <c r="E165" s="3" t="s">
        <v>43</v>
      </c>
      <c r="F165" s="3" t="s">
        <v>105</v>
      </c>
      <c r="G165" s="3" t="s">
        <v>123</v>
      </c>
      <c r="H165" s="3" t="s">
        <v>44</v>
      </c>
      <c r="I165" s="3" t="s">
        <v>105</v>
      </c>
      <c r="J165" s="3" t="s">
        <v>123</v>
      </c>
      <c r="K165" s="3" t="s">
        <v>45</v>
      </c>
      <c r="L165" s="3" t="s">
        <v>105</v>
      </c>
      <c r="M165" s="3" t="s">
        <v>123</v>
      </c>
      <c r="N165" s="3" t="s">
        <v>106</v>
      </c>
      <c r="O165" s="3" t="s">
        <v>9</v>
      </c>
      <c r="P165" s="2"/>
    </row>
    <row r="166" spans="1:16" x14ac:dyDescent="0.25">
      <c r="A166" s="3"/>
      <c r="B166" s="2">
        <v>1.7649999999999999</v>
      </c>
      <c r="C166" s="2">
        <v>0.31230000000000002</v>
      </c>
      <c r="D166" s="2">
        <v>5.6509</v>
      </c>
      <c r="E166" s="2">
        <v>-0.17549999999999999</v>
      </c>
      <c r="F166" s="2">
        <v>0.42980000000000002</v>
      </c>
      <c r="G166" s="2">
        <v>-0.40839999999999999</v>
      </c>
      <c r="H166" s="2">
        <v>-0.2838</v>
      </c>
      <c r="I166" s="2">
        <v>0.34460000000000002</v>
      </c>
      <c r="J166" s="2">
        <v>-0.8236</v>
      </c>
      <c r="K166" s="2">
        <v>-1.3057000000000001</v>
      </c>
      <c r="L166" s="2">
        <v>0.79800000000000004</v>
      </c>
      <c r="M166" s="2">
        <v>-1.6362000000000001</v>
      </c>
      <c r="N166" s="2">
        <v>63.5411</v>
      </c>
      <c r="O166" s="4">
        <v>1E-13</v>
      </c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3" t="s">
        <v>107</v>
      </c>
      <c r="B168" s="3" t="s">
        <v>42</v>
      </c>
      <c r="C168" s="3" t="s">
        <v>105</v>
      </c>
      <c r="D168" s="3" t="s">
        <v>123</v>
      </c>
      <c r="E168" s="3" t="s">
        <v>43</v>
      </c>
      <c r="F168" s="3" t="s">
        <v>105</v>
      </c>
      <c r="G168" s="3" t="s">
        <v>123</v>
      </c>
      <c r="H168" s="3" t="s">
        <v>44</v>
      </c>
      <c r="I168" s="3" t="s">
        <v>105</v>
      </c>
      <c r="J168" s="3" t="s">
        <v>123</v>
      </c>
      <c r="K168" s="3" t="s">
        <v>45</v>
      </c>
      <c r="L168" s="3" t="s">
        <v>105</v>
      </c>
      <c r="M168" s="3" t="s">
        <v>123</v>
      </c>
      <c r="N168" s="3" t="s">
        <v>106</v>
      </c>
      <c r="O168" s="3" t="s">
        <v>9</v>
      </c>
      <c r="P168" s="2"/>
    </row>
    <row r="169" spans="1:16" x14ac:dyDescent="0.25">
      <c r="A169" s="3" t="s">
        <v>169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>
        <v>-0.25209999999999999</v>
      </c>
      <c r="C170" s="2">
        <v>0.5837</v>
      </c>
      <c r="D170" s="2">
        <v>-0.43180000000000002</v>
      </c>
      <c r="E170" s="2">
        <v>0.80779999999999996</v>
      </c>
      <c r="F170" s="2">
        <v>0.77810000000000001</v>
      </c>
      <c r="G170" s="2">
        <v>1.0382</v>
      </c>
      <c r="H170" s="2">
        <v>0.94269999999999998</v>
      </c>
      <c r="I170" s="2">
        <v>0.63470000000000004</v>
      </c>
      <c r="J170" s="2">
        <v>1.4853000000000001</v>
      </c>
      <c r="K170" s="2">
        <v>-1.4984999999999999</v>
      </c>
      <c r="L170" s="2">
        <v>1.5192000000000001</v>
      </c>
      <c r="M170" s="2">
        <v>-0.98629999999999995</v>
      </c>
      <c r="N170" s="2">
        <v>6.8201999999999998</v>
      </c>
      <c r="O170" s="2">
        <v>7.8E-2</v>
      </c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8.75" x14ac:dyDescent="0.25">
      <c r="A173" s="1" t="s">
        <v>108</v>
      </c>
    </row>
    <row r="175" spans="1:16" x14ac:dyDescent="0.25">
      <c r="A175" s="3" t="s">
        <v>103</v>
      </c>
      <c r="B175" s="3"/>
      <c r="C175" s="3"/>
      <c r="D175" s="3" t="s">
        <v>106</v>
      </c>
      <c r="E175" s="3" t="s">
        <v>109</v>
      </c>
      <c r="F175" s="3" t="s">
        <v>9</v>
      </c>
    </row>
    <row r="176" spans="1:16" x14ac:dyDescent="0.25">
      <c r="A176" s="3" t="s">
        <v>104</v>
      </c>
      <c r="B176" s="2"/>
      <c r="C176" s="2"/>
      <c r="D176" s="2"/>
      <c r="E176" s="2"/>
      <c r="F176" s="2"/>
    </row>
    <row r="177" spans="1:6" x14ac:dyDescent="0.25">
      <c r="A177" s="3" t="s">
        <v>110</v>
      </c>
      <c r="B177" s="3">
        <v>1</v>
      </c>
      <c r="C177" s="3">
        <v>2</v>
      </c>
      <c r="D177" s="2">
        <v>16.848700000000001</v>
      </c>
      <c r="E177" s="2">
        <v>1</v>
      </c>
      <c r="F177" s="4">
        <v>4.1E-5</v>
      </c>
    </row>
    <row r="178" spans="1:6" x14ac:dyDescent="0.25">
      <c r="A178" s="3" t="s">
        <v>110</v>
      </c>
      <c r="B178" s="3">
        <v>1</v>
      </c>
      <c r="C178" s="3">
        <v>3</v>
      </c>
      <c r="D178" s="2">
        <v>49.543700000000001</v>
      </c>
      <c r="E178" s="2">
        <v>1</v>
      </c>
      <c r="F178" s="4">
        <v>1.9E-12</v>
      </c>
    </row>
    <row r="179" spans="1:6" x14ac:dyDescent="0.25">
      <c r="A179" s="3" t="s">
        <v>110</v>
      </c>
      <c r="B179" s="3">
        <v>1</v>
      </c>
      <c r="C179" s="3">
        <v>4</v>
      </c>
      <c r="D179" s="2">
        <v>8.4205000000000005</v>
      </c>
      <c r="E179" s="2">
        <v>1</v>
      </c>
      <c r="F179" s="2">
        <v>3.7000000000000002E-3</v>
      </c>
    </row>
    <row r="180" spans="1:6" x14ac:dyDescent="0.25">
      <c r="A180" s="3" t="s">
        <v>110</v>
      </c>
      <c r="B180" s="3">
        <v>2</v>
      </c>
      <c r="C180" s="3">
        <v>3</v>
      </c>
      <c r="D180" s="2">
        <v>4.5499999999999999E-2</v>
      </c>
      <c r="E180" s="2">
        <v>1</v>
      </c>
      <c r="F180" s="2">
        <v>0.83</v>
      </c>
    </row>
    <row r="181" spans="1:6" x14ac:dyDescent="0.25">
      <c r="A181" s="3" t="s">
        <v>110</v>
      </c>
      <c r="B181" s="3">
        <v>2</v>
      </c>
      <c r="C181" s="3">
        <v>4</v>
      </c>
      <c r="D181" s="2">
        <v>0.98629999999999995</v>
      </c>
      <c r="E181" s="2">
        <v>1</v>
      </c>
      <c r="F181" s="2">
        <v>0.32</v>
      </c>
    </row>
    <row r="182" spans="1:6" x14ac:dyDescent="0.25">
      <c r="A182" s="3" t="s">
        <v>110</v>
      </c>
      <c r="B182" s="3">
        <v>3</v>
      </c>
      <c r="C182" s="3">
        <v>4</v>
      </c>
      <c r="D182" s="2">
        <v>0.89249999999999996</v>
      </c>
      <c r="E182" s="2">
        <v>1</v>
      </c>
      <c r="F182" s="2">
        <v>0.34</v>
      </c>
    </row>
    <row r="183" spans="1:6" x14ac:dyDescent="0.25">
      <c r="A183" s="3" t="s">
        <v>169</v>
      </c>
      <c r="B183" s="2"/>
      <c r="C183" s="2"/>
      <c r="D183" s="2"/>
      <c r="E183" s="2"/>
      <c r="F183" s="2"/>
    </row>
    <row r="184" spans="1:6" x14ac:dyDescent="0.25">
      <c r="A184" s="3" t="s">
        <v>110</v>
      </c>
      <c r="B184" s="3">
        <v>1</v>
      </c>
      <c r="C184" s="3">
        <v>2</v>
      </c>
      <c r="D184" s="2">
        <v>1.6043000000000001</v>
      </c>
      <c r="E184" s="2">
        <v>1</v>
      </c>
      <c r="F184" s="2">
        <v>0.21</v>
      </c>
    </row>
    <row r="185" spans="1:6" x14ac:dyDescent="0.25">
      <c r="A185" s="3" t="s">
        <v>110</v>
      </c>
      <c r="B185" s="3">
        <v>1</v>
      </c>
      <c r="C185" s="3">
        <v>3</v>
      </c>
      <c r="D185" s="2">
        <v>5.5976999999999997</v>
      </c>
      <c r="E185" s="2">
        <v>1</v>
      </c>
      <c r="F185" s="2">
        <v>1.7999999999999999E-2</v>
      </c>
    </row>
    <row r="186" spans="1:6" x14ac:dyDescent="0.25">
      <c r="A186" s="3" t="s">
        <v>110</v>
      </c>
      <c r="B186" s="3">
        <v>1</v>
      </c>
      <c r="C186" s="3">
        <v>4</v>
      </c>
      <c r="D186" s="2">
        <v>0.38219999999999998</v>
      </c>
      <c r="E186" s="2">
        <v>1</v>
      </c>
      <c r="F186" s="2">
        <v>0.54</v>
      </c>
    </row>
    <row r="187" spans="1:6" x14ac:dyDescent="0.25">
      <c r="A187" s="3" t="s">
        <v>110</v>
      </c>
      <c r="B187" s="3">
        <v>2</v>
      </c>
      <c r="C187" s="3">
        <v>3</v>
      </c>
      <c r="D187" s="2">
        <v>2.3199999999999998E-2</v>
      </c>
      <c r="E187" s="2">
        <v>1</v>
      </c>
      <c r="F187" s="2">
        <v>0.88</v>
      </c>
    </row>
    <row r="188" spans="1:6" x14ac:dyDescent="0.25">
      <c r="A188" s="3" t="s">
        <v>110</v>
      </c>
      <c r="B188" s="3">
        <v>2</v>
      </c>
      <c r="C188" s="3">
        <v>4</v>
      </c>
      <c r="D188" s="2">
        <v>1.1576</v>
      </c>
      <c r="E188" s="2">
        <v>1</v>
      </c>
      <c r="F188" s="2">
        <v>0.28000000000000003</v>
      </c>
    </row>
    <row r="189" spans="1:6" x14ac:dyDescent="0.25">
      <c r="A189" s="3" t="s">
        <v>110</v>
      </c>
      <c r="B189" s="3">
        <v>3</v>
      </c>
      <c r="C189" s="3">
        <v>4</v>
      </c>
      <c r="D189" s="2">
        <v>1.409</v>
      </c>
      <c r="E189" s="2">
        <v>1</v>
      </c>
      <c r="F189" s="2">
        <v>0.24</v>
      </c>
    </row>
    <row r="191" spans="1:6" ht="18.75" x14ac:dyDescent="0.25">
      <c r="A191" s="1" t="s">
        <v>111</v>
      </c>
    </row>
    <row r="193" spans="1:9" x14ac:dyDescent="0.25">
      <c r="A193" s="2"/>
      <c r="B193" s="3" t="s">
        <v>42</v>
      </c>
      <c r="C193" s="3" t="s">
        <v>105</v>
      </c>
      <c r="D193" s="3" t="s">
        <v>43</v>
      </c>
      <c r="E193" s="3" t="s">
        <v>105</v>
      </c>
      <c r="F193" s="3" t="s">
        <v>44</v>
      </c>
      <c r="G193" s="3" t="s">
        <v>105</v>
      </c>
      <c r="H193" s="3" t="s">
        <v>45</v>
      </c>
      <c r="I193" s="3" t="s">
        <v>105</v>
      </c>
    </row>
    <row r="194" spans="1:9" x14ac:dyDescent="0.25">
      <c r="A194" s="3" t="s">
        <v>112</v>
      </c>
      <c r="B194" s="2">
        <v>0.6573</v>
      </c>
      <c r="C194" s="2">
        <v>1.89E-2</v>
      </c>
      <c r="D194" s="2">
        <v>0.16589999999999999</v>
      </c>
      <c r="E194" s="2">
        <v>1.61E-2</v>
      </c>
      <c r="F194" s="2">
        <v>0.1603</v>
      </c>
      <c r="G194" s="2">
        <v>1.4E-2</v>
      </c>
      <c r="H194" s="2">
        <v>1.6400000000000001E-2</v>
      </c>
      <c r="I194" s="2">
        <v>4.4000000000000003E-3</v>
      </c>
    </row>
    <row r="195" spans="1:9" x14ac:dyDescent="0.25">
      <c r="A195" s="3" t="s">
        <v>107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 t="s">
        <v>169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11">
        <v>21186</v>
      </c>
      <c r="B197" s="2">
        <v>0.21940000000000001</v>
      </c>
      <c r="C197" s="2" t="s">
        <v>11</v>
      </c>
      <c r="D197" s="2">
        <v>0.16769999999999999</v>
      </c>
      <c r="E197" s="2" t="s">
        <v>11</v>
      </c>
      <c r="F197" s="2">
        <v>0.1618</v>
      </c>
      <c r="G197" s="2" t="s">
        <v>11</v>
      </c>
      <c r="H197" s="2">
        <v>0.29099999999999998</v>
      </c>
      <c r="I197" s="2" t="s">
        <v>11</v>
      </c>
    </row>
    <row r="198" spans="1:9" x14ac:dyDescent="0.25">
      <c r="A198" s="3" t="s">
        <v>170</v>
      </c>
      <c r="B198" s="2">
        <v>0.21460000000000001</v>
      </c>
      <c r="C198" s="2" t="s">
        <v>11</v>
      </c>
      <c r="D198" s="2">
        <v>0.19409999999999999</v>
      </c>
      <c r="E198" s="2" t="s">
        <v>11</v>
      </c>
      <c r="F198" s="2">
        <v>0.19120000000000001</v>
      </c>
      <c r="G198" s="2" t="s">
        <v>11</v>
      </c>
      <c r="H198" s="2">
        <v>0.23130000000000001</v>
      </c>
      <c r="I198" s="2" t="s">
        <v>11</v>
      </c>
    </row>
    <row r="199" spans="1:9" x14ac:dyDescent="0.25">
      <c r="A199" s="3" t="s">
        <v>171</v>
      </c>
      <c r="B199" s="2">
        <v>0.19819999999999999</v>
      </c>
      <c r="C199" s="2" t="s">
        <v>11</v>
      </c>
      <c r="D199" s="2">
        <v>0.19850000000000001</v>
      </c>
      <c r="E199" s="2" t="s">
        <v>11</v>
      </c>
      <c r="F199" s="2">
        <v>0.19800000000000001</v>
      </c>
      <c r="G199" s="2" t="s">
        <v>11</v>
      </c>
      <c r="H199" s="2">
        <v>0.18959999999999999</v>
      </c>
      <c r="I199" s="2" t="s">
        <v>11</v>
      </c>
    </row>
    <row r="200" spans="1:9" x14ac:dyDescent="0.25">
      <c r="A200" s="3" t="s">
        <v>172</v>
      </c>
      <c r="B200" s="2">
        <v>0.19289999999999999</v>
      </c>
      <c r="C200" s="2" t="s">
        <v>11</v>
      </c>
      <c r="D200" s="2">
        <v>0.21510000000000001</v>
      </c>
      <c r="E200" s="2" t="s">
        <v>11</v>
      </c>
      <c r="F200" s="2">
        <v>0.21759999999999999</v>
      </c>
      <c r="G200" s="2" t="s">
        <v>11</v>
      </c>
      <c r="H200" s="2">
        <v>0.16259999999999999</v>
      </c>
      <c r="I200" s="2" t="s">
        <v>11</v>
      </c>
    </row>
    <row r="201" spans="1:9" x14ac:dyDescent="0.25">
      <c r="A201" s="3" t="s">
        <v>173</v>
      </c>
      <c r="B201" s="2">
        <v>0.17499999999999999</v>
      </c>
      <c r="C201" s="2" t="s">
        <v>11</v>
      </c>
      <c r="D201" s="2">
        <v>0.22459999999999999</v>
      </c>
      <c r="E201" s="2" t="s">
        <v>11</v>
      </c>
      <c r="F201" s="2">
        <v>0.23139999999999999</v>
      </c>
      <c r="G201" s="2" t="s">
        <v>11</v>
      </c>
      <c r="H201" s="2">
        <v>0.1255</v>
      </c>
      <c r="I201" s="2" t="s">
        <v>11</v>
      </c>
    </row>
    <row r="202" spans="1:9" x14ac:dyDescent="0.25">
      <c r="A202" s="3" t="s">
        <v>131</v>
      </c>
      <c r="B202" s="2">
        <v>0.51580000000000004</v>
      </c>
      <c r="C202" s="2" t="s">
        <v>11</v>
      </c>
      <c r="D202" s="2">
        <v>0.54759999999999998</v>
      </c>
      <c r="E202" s="2" t="s">
        <v>11</v>
      </c>
      <c r="F202" s="2">
        <v>0.55159999999999998</v>
      </c>
      <c r="G202" s="2" t="s">
        <v>11</v>
      </c>
      <c r="H202" s="2">
        <v>0.47720000000000001</v>
      </c>
      <c r="I202" s="2" t="s">
        <v>11</v>
      </c>
    </row>
    <row r="204" spans="1:9" ht="18.75" x14ac:dyDescent="0.25">
      <c r="A204" s="1" t="s">
        <v>113</v>
      </c>
    </row>
    <row r="206" spans="1:9" x14ac:dyDescent="0.25">
      <c r="A206" s="2"/>
      <c r="B206" s="3" t="s">
        <v>42</v>
      </c>
      <c r="C206" s="3" t="s">
        <v>43</v>
      </c>
      <c r="D206" s="3" t="s">
        <v>44</v>
      </c>
      <c r="E206" s="3" t="s">
        <v>45</v>
      </c>
    </row>
    <row r="207" spans="1:9" x14ac:dyDescent="0.25">
      <c r="A207" s="3" t="s">
        <v>114</v>
      </c>
      <c r="B207" s="2">
        <v>0.6573</v>
      </c>
      <c r="C207" s="2">
        <v>0.16589999999999999</v>
      </c>
      <c r="D207" s="2">
        <v>0.1603</v>
      </c>
      <c r="E207" s="2">
        <v>1.6400000000000001E-2</v>
      </c>
    </row>
    <row r="208" spans="1:9" x14ac:dyDescent="0.25">
      <c r="A208" s="3" t="s">
        <v>107</v>
      </c>
      <c r="B208" s="2"/>
      <c r="C208" s="2"/>
      <c r="D208" s="2"/>
      <c r="E208" s="2"/>
    </row>
    <row r="209" spans="1:9" x14ac:dyDescent="0.25">
      <c r="A209" s="3" t="s">
        <v>169</v>
      </c>
      <c r="B209" s="2"/>
      <c r="C209" s="2"/>
      <c r="D209" s="2"/>
      <c r="E209" s="2"/>
    </row>
    <row r="210" spans="1:9" x14ac:dyDescent="0.25">
      <c r="A210" s="11">
        <v>21186</v>
      </c>
      <c r="B210" s="2">
        <v>0.71130000000000004</v>
      </c>
      <c r="C210" s="2">
        <v>0.13719999999999999</v>
      </c>
      <c r="D210" s="2">
        <v>0.12790000000000001</v>
      </c>
      <c r="E210" s="2">
        <v>2.3599999999999999E-2</v>
      </c>
    </row>
    <row r="211" spans="1:9" x14ac:dyDescent="0.25">
      <c r="A211" s="3" t="s">
        <v>170</v>
      </c>
      <c r="B211" s="2">
        <v>0.67920000000000003</v>
      </c>
      <c r="C211" s="2">
        <v>0.155</v>
      </c>
      <c r="D211" s="2">
        <v>0.14749999999999999</v>
      </c>
      <c r="E211" s="2">
        <v>1.83E-2</v>
      </c>
    </row>
    <row r="212" spans="1:9" x14ac:dyDescent="0.25">
      <c r="A212" s="3" t="s">
        <v>171</v>
      </c>
      <c r="B212" s="2">
        <v>0.65769999999999995</v>
      </c>
      <c r="C212" s="2">
        <v>0.16619999999999999</v>
      </c>
      <c r="D212" s="2">
        <v>0.1603</v>
      </c>
      <c r="E212" s="2">
        <v>1.5699999999999999E-2</v>
      </c>
    </row>
    <row r="213" spans="1:9" x14ac:dyDescent="0.25">
      <c r="A213" s="3" t="s">
        <v>172</v>
      </c>
      <c r="B213" s="2">
        <v>0.63380000000000003</v>
      </c>
      <c r="C213" s="2">
        <v>0.1784</v>
      </c>
      <c r="D213" s="2">
        <v>0.1744</v>
      </c>
      <c r="E213" s="2">
        <v>1.3299999999999999E-2</v>
      </c>
    </row>
    <row r="214" spans="1:9" x14ac:dyDescent="0.25">
      <c r="A214" s="3" t="s">
        <v>173</v>
      </c>
      <c r="B214" s="2">
        <v>0.60029999999999994</v>
      </c>
      <c r="C214" s="2">
        <v>0.19489999999999999</v>
      </c>
      <c r="D214" s="2">
        <v>0.19409999999999999</v>
      </c>
      <c r="E214" s="2">
        <v>1.0699999999999999E-2</v>
      </c>
    </row>
    <row r="216" spans="1:9" ht="18.75" x14ac:dyDescent="0.25">
      <c r="A216" s="1" t="s">
        <v>115</v>
      </c>
    </row>
    <row r="218" spans="1:9" x14ac:dyDescent="0.25">
      <c r="A218" s="2"/>
      <c r="B218" s="35" t="s">
        <v>110</v>
      </c>
      <c r="C218" s="36"/>
      <c r="D218" s="36"/>
      <c r="E218" s="36"/>
      <c r="F218" s="36"/>
      <c r="G218" s="36"/>
      <c r="H218" s="36"/>
      <c r="I218" s="37"/>
    </row>
    <row r="219" spans="1:9" x14ac:dyDescent="0.25">
      <c r="A219" s="3" t="s">
        <v>169</v>
      </c>
      <c r="B219" s="3">
        <v>1</v>
      </c>
      <c r="C219" s="3" t="s">
        <v>105</v>
      </c>
      <c r="D219" s="3">
        <v>2</v>
      </c>
      <c r="E219" s="3" t="s">
        <v>105</v>
      </c>
      <c r="F219" s="3">
        <v>3</v>
      </c>
      <c r="G219" s="3" t="s">
        <v>105</v>
      </c>
      <c r="H219" s="3">
        <v>4</v>
      </c>
      <c r="I219" s="3" t="s">
        <v>105</v>
      </c>
    </row>
    <row r="220" spans="1:9" x14ac:dyDescent="0.25">
      <c r="A220" s="3">
        <v>0</v>
      </c>
      <c r="B220" s="2">
        <v>0.75819999999999999</v>
      </c>
      <c r="C220" s="2">
        <v>5.7200000000000001E-2</v>
      </c>
      <c r="D220" s="2">
        <v>0.1089</v>
      </c>
      <c r="E220" s="2">
        <v>4.5400000000000003E-2</v>
      </c>
      <c r="F220" s="2">
        <v>9.7699999999999995E-2</v>
      </c>
      <c r="G220" s="2">
        <v>2.53E-2</v>
      </c>
      <c r="H220" s="2">
        <v>3.5200000000000002E-2</v>
      </c>
      <c r="I220" s="2">
        <v>3.5799999999999998E-2</v>
      </c>
    </row>
    <row r="221" spans="1:9" x14ac:dyDescent="0.25">
      <c r="A221" s="3">
        <v>0.04</v>
      </c>
      <c r="B221" s="2">
        <v>0.75229999999999997</v>
      </c>
      <c r="C221" s="2">
        <v>5.3499999999999999E-2</v>
      </c>
      <c r="D221" s="2">
        <v>0.11269999999999999</v>
      </c>
      <c r="E221" s="2">
        <v>4.36E-2</v>
      </c>
      <c r="F221" s="2">
        <v>0.1017</v>
      </c>
      <c r="G221" s="2">
        <v>2.4500000000000001E-2</v>
      </c>
      <c r="H221" s="2">
        <v>3.32E-2</v>
      </c>
      <c r="I221" s="2">
        <v>3.1399999999999997E-2</v>
      </c>
    </row>
    <row r="222" spans="1:9" x14ac:dyDescent="0.25">
      <c r="A222" s="3">
        <v>6.6600000000000006E-2</v>
      </c>
      <c r="B222" s="2">
        <v>0.74829999999999997</v>
      </c>
      <c r="C222" s="2">
        <v>5.11E-2</v>
      </c>
      <c r="D222" s="2">
        <v>0.1153</v>
      </c>
      <c r="E222" s="2">
        <v>4.2299999999999997E-2</v>
      </c>
      <c r="F222" s="2">
        <v>0.10440000000000001</v>
      </c>
      <c r="G222" s="2">
        <v>2.4E-2</v>
      </c>
      <c r="H222" s="2">
        <v>3.1899999999999998E-2</v>
      </c>
      <c r="I222" s="2">
        <v>2.87E-2</v>
      </c>
    </row>
    <row r="223" spans="1:9" x14ac:dyDescent="0.25">
      <c r="A223" s="3">
        <v>0.08</v>
      </c>
      <c r="B223" s="2">
        <v>0.74619999999999997</v>
      </c>
      <c r="C223" s="2">
        <v>4.99E-2</v>
      </c>
      <c r="D223" s="2">
        <v>0.1167</v>
      </c>
      <c r="E223" s="2">
        <v>4.1599999999999998E-2</v>
      </c>
      <c r="F223" s="2">
        <v>0.10580000000000001</v>
      </c>
      <c r="G223" s="2">
        <v>2.3699999999999999E-2</v>
      </c>
      <c r="H223" s="2">
        <v>3.1300000000000001E-2</v>
      </c>
      <c r="I223" s="2">
        <v>2.7400000000000001E-2</v>
      </c>
    </row>
    <row r="224" spans="1:9" x14ac:dyDescent="0.25">
      <c r="A224" s="3">
        <v>0.1066</v>
      </c>
      <c r="B224" s="2">
        <v>0.7419</v>
      </c>
      <c r="C224" s="2">
        <v>4.7500000000000001E-2</v>
      </c>
      <c r="D224" s="2">
        <v>0.1193</v>
      </c>
      <c r="E224" s="2">
        <v>4.02E-2</v>
      </c>
      <c r="F224" s="2">
        <v>0.1086</v>
      </c>
      <c r="G224" s="2">
        <v>2.3099999999999999E-2</v>
      </c>
      <c r="H224" s="2">
        <v>3.0099999999999998E-2</v>
      </c>
      <c r="I224" s="2">
        <v>2.4899999999999999E-2</v>
      </c>
    </row>
    <row r="225" spans="1:9" x14ac:dyDescent="0.25">
      <c r="A225" s="3">
        <v>0.12</v>
      </c>
      <c r="B225" s="2">
        <v>0.73970000000000002</v>
      </c>
      <c r="C225" s="2">
        <v>4.6399999999999997E-2</v>
      </c>
      <c r="D225" s="2">
        <v>0.1207</v>
      </c>
      <c r="E225" s="2">
        <v>3.95E-2</v>
      </c>
      <c r="F225" s="2">
        <v>0.11</v>
      </c>
      <c r="G225" s="2">
        <v>2.2800000000000001E-2</v>
      </c>
      <c r="H225" s="2">
        <v>2.9600000000000001E-2</v>
      </c>
      <c r="I225" s="2">
        <v>2.3699999999999999E-2</v>
      </c>
    </row>
    <row r="226" spans="1:9" x14ac:dyDescent="0.25">
      <c r="A226" s="3">
        <v>0.13320000000000001</v>
      </c>
      <c r="B226" s="2">
        <v>0.73750000000000004</v>
      </c>
      <c r="C226" s="2">
        <v>4.5199999999999997E-2</v>
      </c>
      <c r="D226" s="2">
        <v>0.122</v>
      </c>
      <c r="E226" s="2">
        <v>3.8699999999999998E-2</v>
      </c>
      <c r="F226" s="2">
        <v>0.1115</v>
      </c>
      <c r="G226" s="2">
        <v>2.24E-2</v>
      </c>
      <c r="H226" s="2">
        <v>2.9000000000000001E-2</v>
      </c>
      <c r="I226" s="2">
        <v>2.2499999999999999E-2</v>
      </c>
    </row>
    <row r="227" spans="1:9" x14ac:dyDescent="0.25">
      <c r="A227" s="3">
        <v>0.13339999999999999</v>
      </c>
      <c r="B227" s="2">
        <v>0.73750000000000004</v>
      </c>
      <c r="C227" s="2">
        <v>4.5199999999999997E-2</v>
      </c>
      <c r="D227" s="2">
        <v>0.122</v>
      </c>
      <c r="E227" s="2">
        <v>3.8699999999999998E-2</v>
      </c>
      <c r="F227" s="2">
        <v>0.1115</v>
      </c>
      <c r="G227" s="2">
        <v>2.24E-2</v>
      </c>
      <c r="H227" s="2">
        <v>2.9000000000000001E-2</v>
      </c>
      <c r="I227" s="2">
        <v>2.2499999999999999E-2</v>
      </c>
    </row>
    <row r="228" spans="1:9" x14ac:dyDescent="0.25">
      <c r="A228" s="3">
        <v>0.14660000000000001</v>
      </c>
      <c r="B228" s="2">
        <v>0.73529999999999995</v>
      </c>
      <c r="C228" s="2">
        <v>4.41E-2</v>
      </c>
      <c r="D228" s="2">
        <v>0.1234</v>
      </c>
      <c r="E228" s="2">
        <v>3.7999999999999999E-2</v>
      </c>
      <c r="F228" s="2">
        <v>0.1129</v>
      </c>
      <c r="G228" s="2">
        <v>2.2100000000000002E-2</v>
      </c>
      <c r="H228" s="2">
        <v>2.8400000000000002E-2</v>
      </c>
      <c r="I228" s="2">
        <v>2.1399999999999999E-2</v>
      </c>
    </row>
    <row r="229" spans="1:9" x14ac:dyDescent="0.25">
      <c r="A229" s="3">
        <v>0.16</v>
      </c>
      <c r="B229" s="2">
        <v>0.73299999999999998</v>
      </c>
      <c r="C229" s="2">
        <v>4.2900000000000001E-2</v>
      </c>
      <c r="D229" s="2">
        <v>0.12470000000000001</v>
      </c>
      <c r="E229" s="2">
        <v>3.7199999999999997E-2</v>
      </c>
      <c r="F229" s="2">
        <v>0.1144</v>
      </c>
      <c r="G229" s="2">
        <v>2.18E-2</v>
      </c>
      <c r="H229" s="2">
        <v>2.7900000000000001E-2</v>
      </c>
      <c r="I229" s="2">
        <v>2.0299999999999999E-2</v>
      </c>
    </row>
    <row r="230" spans="1:9" x14ac:dyDescent="0.25">
      <c r="A230" s="3">
        <v>0.17319999999999999</v>
      </c>
      <c r="B230" s="2">
        <v>0.73070000000000002</v>
      </c>
      <c r="C230" s="2">
        <v>4.1799999999999997E-2</v>
      </c>
      <c r="D230" s="2">
        <v>0.12609999999999999</v>
      </c>
      <c r="E230" s="2">
        <v>3.6400000000000002E-2</v>
      </c>
      <c r="F230" s="2">
        <v>0.1158</v>
      </c>
      <c r="G230" s="2">
        <v>2.1399999999999999E-2</v>
      </c>
      <c r="H230" s="2">
        <v>2.7300000000000001E-2</v>
      </c>
      <c r="I230" s="2">
        <v>1.9199999999999998E-2</v>
      </c>
    </row>
    <row r="231" spans="1:9" x14ac:dyDescent="0.25">
      <c r="A231" s="3">
        <v>0.1734</v>
      </c>
      <c r="B231" s="2">
        <v>0.73070000000000002</v>
      </c>
      <c r="C231" s="2">
        <v>4.1799999999999997E-2</v>
      </c>
      <c r="D231" s="2">
        <v>0.12609999999999999</v>
      </c>
      <c r="E231" s="2">
        <v>3.6400000000000002E-2</v>
      </c>
      <c r="F231" s="2">
        <v>0.1159</v>
      </c>
      <c r="G231" s="2">
        <v>2.1399999999999999E-2</v>
      </c>
      <c r="H231" s="2">
        <v>2.7300000000000001E-2</v>
      </c>
      <c r="I231" s="2">
        <v>1.9199999999999998E-2</v>
      </c>
    </row>
    <row r="232" spans="1:9" x14ac:dyDescent="0.25">
      <c r="A232" s="3">
        <v>0.18</v>
      </c>
      <c r="B232" s="2">
        <v>0.72950000000000004</v>
      </c>
      <c r="C232" s="2">
        <v>4.1300000000000003E-2</v>
      </c>
      <c r="D232" s="2">
        <v>0.1268</v>
      </c>
      <c r="E232" s="2">
        <v>3.5999999999999997E-2</v>
      </c>
      <c r="F232" s="2">
        <v>0.1166</v>
      </c>
      <c r="G232" s="2">
        <v>2.12E-2</v>
      </c>
      <c r="H232" s="2">
        <v>2.7E-2</v>
      </c>
      <c r="I232" s="2">
        <v>1.8700000000000001E-2</v>
      </c>
    </row>
    <row r="233" spans="1:9" x14ac:dyDescent="0.25">
      <c r="A233" s="3">
        <v>0.18340000000000001</v>
      </c>
      <c r="B233" s="2">
        <v>0.72889999999999999</v>
      </c>
      <c r="C233" s="2">
        <v>4.1000000000000002E-2</v>
      </c>
      <c r="D233" s="2">
        <v>0.12720000000000001</v>
      </c>
      <c r="E233" s="2">
        <v>3.5799999999999998E-2</v>
      </c>
      <c r="F233" s="2">
        <v>0.11700000000000001</v>
      </c>
      <c r="G233" s="2">
        <v>2.1100000000000001E-2</v>
      </c>
      <c r="H233" s="2">
        <v>2.69E-2</v>
      </c>
      <c r="I233" s="2">
        <v>1.8499999999999999E-2</v>
      </c>
    </row>
    <row r="234" spans="1:9" x14ac:dyDescent="0.25">
      <c r="A234" s="3">
        <v>0.18659999999999999</v>
      </c>
      <c r="B234" s="2">
        <v>0.72840000000000005</v>
      </c>
      <c r="C234" s="2">
        <v>4.07E-2</v>
      </c>
      <c r="D234" s="2">
        <v>0.1275</v>
      </c>
      <c r="E234" s="2">
        <v>3.56E-2</v>
      </c>
      <c r="F234" s="2">
        <v>0.1173</v>
      </c>
      <c r="G234" s="2">
        <v>2.1100000000000001E-2</v>
      </c>
      <c r="H234" s="2">
        <v>2.6800000000000001E-2</v>
      </c>
      <c r="I234" s="2">
        <v>1.8200000000000001E-2</v>
      </c>
    </row>
    <row r="235" spans="1:9" x14ac:dyDescent="0.25">
      <c r="A235" s="3">
        <v>0.19980000000000001</v>
      </c>
      <c r="B235" s="2">
        <v>0.72599999999999998</v>
      </c>
      <c r="C235" s="2">
        <v>3.9600000000000003E-2</v>
      </c>
      <c r="D235" s="2">
        <v>0.12889999999999999</v>
      </c>
      <c r="E235" s="2">
        <v>3.4799999999999998E-2</v>
      </c>
      <c r="F235" s="2">
        <v>0.1188</v>
      </c>
      <c r="G235" s="2">
        <v>2.07E-2</v>
      </c>
      <c r="H235" s="2">
        <v>2.63E-2</v>
      </c>
      <c r="I235" s="2">
        <v>1.7299999999999999E-2</v>
      </c>
    </row>
    <row r="236" spans="1:9" x14ac:dyDescent="0.25">
      <c r="A236" s="3">
        <v>0.2</v>
      </c>
      <c r="B236" s="2">
        <v>0.72599999999999998</v>
      </c>
      <c r="C236" s="2">
        <v>3.9600000000000003E-2</v>
      </c>
      <c r="D236" s="2">
        <v>0.12889999999999999</v>
      </c>
      <c r="E236" s="2">
        <v>3.4799999999999998E-2</v>
      </c>
      <c r="F236" s="2">
        <v>0.1188</v>
      </c>
      <c r="G236" s="2">
        <v>2.07E-2</v>
      </c>
      <c r="H236" s="2">
        <v>2.6200000000000001E-2</v>
      </c>
      <c r="I236" s="2">
        <v>1.72E-2</v>
      </c>
    </row>
    <row r="237" spans="1:9" x14ac:dyDescent="0.25">
      <c r="A237" s="3">
        <v>0.2132</v>
      </c>
      <c r="B237" s="2">
        <v>0.72360000000000002</v>
      </c>
      <c r="C237" s="2">
        <v>3.85E-2</v>
      </c>
      <c r="D237" s="2">
        <v>0.1303</v>
      </c>
      <c r="E237" s="2">
        <v>3.4000000000000002E-2</v>
      </c>
      <c r="F237" s="2">
        <v>0.1203</v>
      </c>
      <c r="G237" s="2">
        <v>2.0299999999999999E-2</v>
      </c>
      <c r="H237" s="2">
        <v>2.5700000000000001E-2</v>
      </c>
      <c r="I237" s="2">
        <v>1.6299999999999999E-2</v>
      </c>
    </row>
    <row r="238" spans="1:9" x14ac:dyDescent="0.25">
      <c r="A238" s="3">
        <v>0.21340000000000001</v>
      </c>
      <c r="B238" s="2">
        <v>0.72360000000000002</v>
      </c>
      <c r="C238" s="2">
        <v>3.8399999999999997E-2</v>
      </c>
      <c r="D238" s="2">
        <v>0.1303</v>
      </c>
      <c r="E238" s="2">
        <v>3.4000000000000002E-2</v>
      </c>
      <c r="F238" s="2">
        <v>0.12039999999999999</v>
      </c>
      <c r="G238" s="2">
        <v>2.0299999999999999E-2</v>
      </c>
      <c r="H238" s="2">
        <v>2.5700000000000001E-2</v>
      </c>
      <c r="I238" s="2">
        <v>1.6299999999999999E-2</v>
      </c>
    </row>
    <row r="239" spans="1:9" x14ac:dyDescent="0.25">
      <c r="A239" s="3">
        <v>0.21659999999999999</v>
      </c>
      <c r="B239" s="2">
        <v>0.72299999999999998</v>
      </c>
      <c r="C239" s="2">
        <v>3.8199999999999998E-2</v>
      </c>
      <c r="D239" s="2">
        <v>0.13070000000000001</v>
      </c>
      <c r="E239" s="2">
        <v>3.3799999999999997E-2</v>
      </c>
      <c r="F239" s="2">
        <v>0.1207</v>
      </c>
      <c r="G239" s="2">
        <v>2.0199999999999999E-2</v>
      </c>
      <c r="H239" s="2">
        <v>2.5600000000000001E-2</v>
      </c>
      <c r="I239" s="2">
        <v>1.61E-2</v>
      </c>
    </row>
    <row r="240" spans="1:9" x14ac:dyDescent="0.25">
      <c r="A240" s="3">
        <v>0.22339999999999999</v>
      </c>
      <c r="B240" s="2">
        <v>0.7218</v>
      </c>
      <c r="C240" s="2">
        <v>3.7600000000000001E-2</v>
      </c>
      <c r="D240" s="2">
        <v>0.13139999999999999</v>
      </c>
      <c r="E240" s="2">
        <v>3.3300000000000003E-2</v>
      </c>
      <c r="F240" s="2">
        <v>0.1215</v>
      </c>
      <c r="G240" s="2">
        <v>2.01E-2</v>
      </c>
      <c r="H240" s="2">
        <v>2.53E-2</v>
      </c>
      <c r="I240" s="2">
        <v>1.5599999999999999E-2</v>
      </c>
    </row>
    <row r="241" spans="1:9" x14ac:dyDescent="0.25">
      <c r="A241" s="3">
        <v>0.2266</v>
      </c>
      <c r="B241" s="2">
        <v>0.72119999999999995</v>
      </c>
      <c r="C241" s="2">
        <v>3.73E-2</v>
      </c>
      <c r="D241" s="2">
        <v>0.13170000000000001</v>
      </c>
      <c r="E241" s="2">
        <v>3.3099999999999997E-2</v>
      </c>
      <c r="F241" s="2">
        <v>0.12189999999999999</v>
      </c>
      <c r="G241" s="2">
        <v>0.02</v>
      </c>
      <c r="H241" s="2">
        <v>2.52E-2</v>
      </c>
      <c r="I241" s="2">
        <v>1.54E-2</v>
      </c>
    </row>
    <row r="242" spans="1:9" x14ac:dyDescent="0.25">
      <c r="A242" s="3">
        <v>0.24</v>
      </c>
      <c r="B242" s="2">
        <v>0.71870000000000001</v>
      </c>
      <c r="C242" s="2">
        <v>3.6200000000000003E-2</v>
      </c>
      <c r="D242" s="2">
        <v>0.1331</v>
      </c>
      <c r="E242" s="2">
        <v>3.2300000000000002E-2</v>
      </c>
      <c r="F242" s="2">
        <v>0.1234</v>
      </c>
      <c r="G242" s="2">
        <v>1.9599999999999999E-2</v>
      </c>
      <c r="H242" s="2">
        <v>2.47E-2</v>
      </c>
      <c r="I242" s="2">
        <v>1.4500000000000001E-2</v>
      </c>
    </row>
    <row r="243" spans="1:9" x14ac:dyDescent="0.25">
      <c r="A243" s="3">
        <v>0.25</v>
      </c>
      <c r="B243" s="2">
        <v>0.71689999999999998</v>
      </c>
      <c r="C243" s="2">
        <v>3.5400000000000001E-2</v>
      </c>
      <c r="D243" s="2">
        <v>0.13420000000000001</v>
      </c>
      <c r="E243" s="2">
        <v>3.1600000000000003E-2</v>
      </c>
      <c r="F243" s="2">
        <v>0.1246</v>
      </c>
      <c r="G243" s="2">
        <v>1.9300000000000001E-2</v>
      </c>
      <c r="H243" s="2">
        <v>2.4400000000000002E-2</v>
      </c>
      <c r="I243" s="2">
        <v>1.3899999999999999E-2</v>
      </c>
    </row>
    <row r="244" spans="1:9" x14ac:dyDescent="0.25">
      <c r="A244" s="3">
        <v>0.25319999999999998</v>
      </c>
      <c r="B244" s="2">
        <v>0.71630000000000005</v>
      </c>
      <c r="C244" s="2">
        <v>3.5099999999999999E-2</v>
      </c>
      <c r="D244" s="2">
        <v>0.1346</v>
      </c>
      <c r="E244" s="2">
        <v>3.1399999999999997E-2</v>
      </c>
      <c r="F244" s="2">
        <v>0.1249</v>
      </c>
      <c r="G244" s="2">
        <v>1.9199999999999998E-2</v>
      </c>
      <c r="H244" s="2">
        <v>2.4199999999999999E-2</v>
      </c>
      <c r="I244" s="2">
        <v>1.37E-2</v>
      </c>
    </row>
    <row r="245" spans="1:9" x14ac:dyDescent="0.25">
      <c r="A245" s="3">
        <v>0.25340000000000001</v>
      </c>
      <c r="B245" s="2">
        <v>0.71619999999999995</v>
      </c>
      <c r="C245" s="2">
        <v>3.5099999999999999E-2</v>
      </c>
      <c r="D245" s="2">
        <v>0.1346</v>
      </c>
      <c r="E245" s="2">
        <v>3.1399999999999997E-2</v>
      </c>
      <c r="F245" s="2">
        <v>0.125</v>
      </c>
      <c r="G245" s="2">
        <v>1.9199999999999998E-2</v>
      </c>
      <c r="H245" s="2">
        <v>2.4199999999999999E-2</v>
      </c>
      <c r="I245" s="2">
        <v>1.37E-2</v>
      </c>
    </row>
    <row r="246" spans="1:9" x14ac:dyDescent="0.25">
      <c r="A246" s="3">
        <v>0.26340000000000002</v>
      </c>
      <c r="B246" s="2">
        <v>0.71440000000000003</v>
      </c>
      <c r="C246" s="2">
        <v>3.4299999999999997E-2</v>
      </c>
      <c r="D246" s="2">
        <v>0.13569999999999999</v>
      </c>
      <c r="E246" s="2">
        <v>3.0700000000000002E-2</v>
      </c>
      <c r="F246" s="2">
        <v>0.12609999999999999</v>
      </c>
      <c r="G246" s="2">
        <v>1.89E-2</v>
      </c>
      <c r="H246" s="2">
        <v>2.3900000000000001E-2</v>
      </c>
      <c r="I246" s="2">
        <v>1.2999999999999999E-2</v>
      </c>
    </row>
    <row r="247" spans="1:9" x14ac:dyDescent="0.25">
      <c r="A247" s="3">
        <v>0.2666</v>
      </c>
      <c r="B247" s="2">
        <v>0.7137</v>
      </c>
      <c r="C247" s="2">
        <v>3.4000000000000002E-2</v>
      </c>
      <c r="D247" s="2">
        <v>0.13600000000000001</v>
      </c>
      <c r="E247" s="2">
        <v>3.0499999999999999E-2</v>
      </c>
      <c r="F247" s="2">
        <v>0.1265</v>
      </c>
      <c r="G247" s="2">
        <v>1.89E-2</v>
      </c>
      <c r="H247" s="2">
        <v>2.3800000000000002E-2</v>
      </c>
      <c r="I247" s="2">
        <v>1.29E-2</v>
      </c>
    </row>
    <row r="248" spans="1:9" x14ac:dyDescent="0.25">
      <c r="A248" s="3">
        <v>0.26679999999999998</v>
      </c>
      <c r="B248" s="2">
        <v>0.7137</v>
      </c>
      <c r="C248" s="2">
        <v>3.4000000000000002E-2</v>
      </c>
      <c r="D248" s="2">
        <v>0.13600000000000001</v>
      </c>
      <c r="E248" s="2">
        <v>3.0499999999999999E-2</v>
      </c>
      <c r="F248" s="2">
        <v>0.1265</v>
      </c>
      <c r="G248" s="2">
        <v>1.8800000000000001E-2</v>
      </c>
      <c r="H248" s="2">
        <v>2.3699999999999999E-2</v>
      </c>
      <c r="I248" s="2">
        <v>1.2800000000000001E-2</v>
      </c>
    </row>
    <row r="249" spans="1:9" x14ac:dyDescent="0.25">
      <c r="A249" s="3">
        <v>0.27660000000000001</v>
      </c>
      <c r="B249" s="2">
        <v>0.71179999999999999</v>
      </c>
      <c r="C249" s="2">
        <v>3.32E-2</v>
      </c>
      <c r="D249" s="2">
        <v>0.1371</v>
      </c>
      <c r="E249" s="2">
        <v>2.98E-2</v>
      </c>
      <c r="F249" s="2">
        <v>0.12770000000000001</v>
      </c>
      <c r="G249" s="2">
        <v>1.8599999999999998E-2</v>
      </c>
      <c r="H249" s="2">
        <v>2.3400000000000001E-2</v>
      </c>
      <c r="I249" s="2">
        <v>1.23E-2</v>
      </c>
    </row>
    <row r="250" spans="1:9" x14ac:dyDescent="0.25">
      <c r="A250" s="3">
        <v>0.28000000000000003</v>
      </c>
      <c r="B250" s="2">
        <v>0.71120000000000005</v>
      </c>
      <c r="C250" s="2">
        <v>3.3000000000000002E-2</v>
      </c>
      <c r="D250" s="2">
        <v>0.13739999999999999</v>
      </c>
      <c r="E250" s="2">
        <v>2.9600000000000001E-2</v>
      </c>
      <c r="F250" s="2">
        <v>0.12809999999999999</v>
      </c>
      <c r="G250" s="2">
        <v>1.8499999999999999E-2</v>
      </c>
      <c r="H250" s="2">
        <v>2.3300000000000001E-2</v>
      </c>
      <c r="I250" s="2">
        <v>1.21E-2</v>
      </c>
    </row>
    <row r="251" spans="1:9" x14ac:dyDescent="0.25">
      <c r="A251" s="3">
        <v>0.28660000000000002</v>
      </c>
      <c r="B251" s="2">
        <v>0.70989999999999998</v>
      </c>
      <c r="C251" s="2">
        <v>3.2399999999999998E-2</v>
      </c>
      <c r="D251" s="2">
        <v>0.13819999999999999</v>
      </c>
      <c r="E251" s="2">
        <v>2.92E-2</v>
      </c>
      <c r="F251" s="2">
        <v>0.12889999999999999</v>
      </c>
      <c r="G251" s="2">
        <v>1.83E-2</v>
      </c>
      <c r="H251" s="2">
        <v>2.3E-2</v>
      </c>
      <c r="I251" s="2">
        <v>1.17E-2</v>
      </c>
    </row>
    <row r="252" spans="1:9" x14ac:dyDescent="0.25">
      <c r="A252" s="3">
        <v>0.29320000000000002</v>
      </c>
      <c r="B252" s="2">
        <v>0.70860000000000001</v>
      </c>
      <c r="C252" s="2">
        <v>3.1899999999999998E-2</v>
      </c>
      <c r="D252" s="2">
        <v>0.1389</v>
      </c>
      <c r="E252" s="2">
        <v>2.87E-2</v>
      </c>
      <c r="F252" s="2">
        <v>0.12970000000000001</v>
      </c>
      <c r="G252" s="2">
        <v>1.8100000000000002E-2</v>
      </c>
      <c r="H252" s="2">
        <v>2.2800000000000001E-2</v>
      </c>
      <c r="I252" s="2">
        <v>1.1299999999999999E-2</v>
      </c>
    </row>
    <row r="253" spans="1:9" x14ac:dyDescent="0.25">
      <c r="A253" s="3">
        <v>0.29339999999999999</v>
      </c>
      <c r="B253" s="2">
        <v>0.70860000000000001</v>
      </c>
      <c r="C253" s="2">
        <v>3.1899999999999998E-2</v>
      </c>
      <c r="D253" s="2">
        <v>0.1389</v>
      </c>
      <c r="E253" s="2">
        <v>2.87E-2</v>
      </c>
      <c r="F253" s="2">
        <v>0.12970000000000001</v>
      </c>
      <c r="G253" s="2">
        <v>1.8100000000000002E-2</v>
      </c>
      <c r="H253" s="2">
        <v>2.2800000000000001E-2</v>
      </c>
      <c r="I253" s="2">
        <v>1.1299999999999999E-2</v>
      </c>
    </row>
    <row r="254" spans="1:9" x14ac:dyDescent="0.25">
      <c r="A254" s="3">
        <v>0.30659999999999998</v>
      </c>
      <c r="B254" s="2">
        <v>0.70599999999999996</v>
      </c>
      <c r="C254" s="2">
        <v>3.0800000000000001E-2</v>
      </c>
      <c r="D254" s="2">
        <v>0.1404</v>
      </c>
      <c r="E254" s="2">
        <v>2.7799999999999998E-2</v>
      </c>
      <c r="F254" s="2">
        <v>0.1313</v>
      </c>
      <c r="G254" s="2">
        <v>1.77E-2</v>
      </c>
      <c r="H254" s="2">
        <v>2.24E-2</v>
      </c>
      <c r="I254" s="2">
        <v>1.06E-2</v>
      </c>
    </row>
    <row r="255" spans="1:9" x14ac:dyDescent="0.25">
      <c r="A255" s="3">
        <v>0.30680000000000002</v>
      </c>
      <c r="B255" s="2">
        <v>0.70599999999999996</v>
      </c>
      <c r="C255" s="2">
        <v>3.0800000000000001E-2</v>
      </c>
      <c r="D255" s="2">
        <v>0.1404</v>
      </c>
      <c r="E255" s="2">
        <v>2.7799999999999998E-2</v>
      </c>
      <c r="F255" s="2">
        <v>0.1313</v>
      </c>
      <c r="G255" s="2">
        <v>1.77E-2</v>
      </c>
      <c r="H255" s="2">
        <v>2.23E-2</v>
      </c>
      <c r="I255" s="2">
        <v>1.06E-2</v>
      </c>
    </row>
    <row r="256" spans="1:9" x14ac:dyDescent="0.25">
      <c r="A256" s="3">
        <v>0.31659999999999999</v>
      </c>
      <c r="B256" s="2">
        <v>0.70409999999999995</v>
      </c>
      <c r="C256" s="2">
        <v>0.03</v>
      </c>
      <c r="D256" s="2">
        <v>0.14149999999999999</v>
      </c>
      <c r="E256" s="2">
        <v>2.7099999999999999E-2</v>
      </c>
      <c r="F256" s="2">
        <v>0.13250000000000001</v>
      </c>
      <c r="G256" s="2">
        <v>1.7399999999999999E-2</v>
      </c>
      <c r="H256" s="2">
        <v>2.1999999999999999E-2</v>
      </c>
      <c r="I256" s="2">
        <v>1.01E-2</v>
      </c>
    </row>
    <row r="257" spans="1:9" x14ac:dyDescent="0.25">
      <c r="A257" s="3">
        <v>0.31979999999999997</v>
      </c>
      <c r="B257" s="2">
        <v>0.70340000000000003</v>
      </c>
      <c r="C257" s="2">
        <v>2.98E-2</v>
      </c>
      <c r="D257" s="2">
        <v>0.14180000000000001</v>
      </c>
      <c r="E257" s="2">
        <v>2.69E-2</v>
      </c>
      <c r="F257" s="2">
        <v>0.13289999999999999</v>
      </c>
      <c r="G257" s="2">
        <v>1.7399999999999999E-2</v>
      </c>
      <c r="H257" s="2">
        <v>2.1899999999999999E-2</v>
      </c>
      <c r="I257" s="2">
        <v>9.9000000000000008E-3</v>
      </c>
    </row>
    <row r="258" spans="1:9" x14ac:dyDescent="0.25">
      <c r="A258" s="3">
        <v>0.32</v>
      </c>
      <c r="B258" s="2">
        <v>0.70340000000000003</v>
      </c>
      <c r="C258" s="2">
        <v>2.98E-2</v>
      </c>
      <c r="D258" s="2">
        <v>0.14180000000000001</v>
      </c>
      <c r="E258" s="2">
        <v>2.69E-2</v>
      </c>
      <c r="F258" s="2">
        <v>0.13289999999999999</v>
      </c>
      <c r="G258" s="2">
        <v>1.7299999999999999E-2</v>
      </c>
      <c r="H258" s="2">
        <v>2.1899999999999999E-2</v>
      </c>
      <c r="I258" s="2">
        <v>9.9000000000000008E-3</v>
      </c>
    </row>
    <row r="259" spans="1:9" x14ac:dyDescent="0.25">
      <c r="A259" s="3">
        <v>0.32319999999999999</v>
      </c>
      <c r="B259" s="2">
        <v>0.70279999999999998</v>
      </c>
      <c r="C259" s="2">
        <v>2.9499999999999998E-2</v>
      </c>
      <c r="D259" s="2">
        <v>0.14219999999999999</v>
      </c>
      <c r="E259" s="2">
        <v>2.6700000000000002E-2</v>
      </c>
      <c r="F259" s="2">
        <v>0.1333</v>
      </c>
      <c r="G259" s="2">
        <v>1.7299999999999999E-2</v>
      </c>
      <c r="H259" s="2">
        <v>2.18E-2</v>
      </c>
      <c r="I259" s="2">
        <v>9.7999999999999997E-3</v>
      </c>
    </row>
    <row r="260" spans="1:9" x14ac:dyDescent="0.25">
      <c r="A260" s="3">
        <v>0.33</v>
      </c>
      <c r="B260" s="2">
        <v>0.70140000000000002</v>
      </c>
      <c r="C260" s="2">
        <v>2.9000000000000001E-2</v>
      </c>
      <c r="D260" s="2">
        <v>0.1429</v>
      </c>
      <c r="E260" s="2">
        <v>2.6200000000000001E-2</v>
      </c>
      <c r="F260" s="2">
        <v>0.1341</v>
      </c>
      <c r="G260" s="2">
        <v>1.7100000000000001E-2</v>
      </c>
      <c r="H260" s="2">
        <v>2.1600000000000001E-2</v>
      </c>
      <c r="I260" s="2">
        <v>9.4000000000000004E-3</v>
      </c>
    </row>
    <row r="261" spans="1:9" x14ac:dyDescent="0.25">
      <c r="A261" s="3">
        <v>0.3332</v>
      </c>
      <c r="B261" s="2">
        <v>0.70079999999999998</v>
      </c>
      <c r="C261" s="2">
        <v>2.8799999999999999E-2</v>
      </c>
      <c r="D261" s="2">
        <v>0.14330000000000001</v>
      </c>
      <c r="E261" s="2">
        <v>2.5999999999999999E-2</v>
      </c>
      <c r="F261" s="2">
        <v>0.13450000000000001</v>
      </c>
      <c r="G261" s="2">
        <v>1.7000000000000001E-2</v>
      </c>
      <c r="H261" s="2">
        <v>2.1499999999999998E-2</v>
      </c>
      <c r="I261" s="2">
        <v>9.2999999999999992E-3</v>
      </c>
    </row>
    <row r="262" spans="1:9" x14ac:dyDescent="0.25">
      <c r="A262" s="3">
        <v>0.33339999999999997</v>
      </c>
      <c r="B262" s="2">
        <v>0.70069999999999999</v>
      </c>
      <c r="C262" s="2">
        <v>2.87E-2</v>
      </c>
      <c r="D262" s="2">
        <v>0.14330000000000001</v>
      </c>
      <c r="E262" s="2">
        <v>2.5999999999999999E-2</v>
      </c>
      <c r="F262" s="2">
        <v>0.13450000000000001</v>
      </c>
      <c r="G262" s="2">
        <v>1.7000000000000001E-2</v>
      </c>
      <c r="H262" s="2">
        <v>2.1499999999999998E-2</v>
      </c>
      <c r="I262" s="2">
        <v>9.2999999999999992E-3</v>
      </c>
    </row>
    <row r="263" spans="1:9" x14ac:dyDescent="0.25">
      <c r="A263" s="3">
        <v>0.34339999999999998</v>
      </c>
      <c r="B263" s="2">
        <v>0.69869999999999999</v>
      </c>
      <c r="C263" s="2">
        <v>2.8000000000000001E-2</v>
      </c>
      <c r="D263" s="2">
        <v>0.1444</v>
      </c>
      <c r="E263" s="2">
        <v>2.53E-2</v>
      </c>
      <c r="F263" s="2">
        <v>0.13569999999999999</v>
      </c>
      <c r="G263" s="2">
        <v>1.67E-2</v>
      </c>
      <c r="H263" s="2">
        <v>2.1100000000000001E-2</v>
      </c>
      <c r="I263" s="2">
        <v>8.8000000000000005E-3</v>
      </c>
    </row>
    <row r="264" spans="1:9" x14ac:dyDescent="0.25">
      <c r="A264" s="3">
        <v>0.34660000000000002</v>
      </c>
      <c r="B264" s="2">
        <v>0.69810000000000005</v>
      </c>
      <c r="C264" s="2">
        <v>2.7699999999999999E-2</v>
      </c>
      <c r="D264" s="2">
        <v>0.14480000000000001</v>
      </c>
      <c r="E264" s="2">
        <v>2.5100000000000001E-2</v>
      </c>
      <c r="F264" s="2">
        <v>0.1361</v>
      </c>
      <c r="G264" s="2">
        <v>1.66E-2</v>
      </c>
      <c r="H264" s="2">
        <v>2.1000000000000001E-2</v>
      </c>
      <c r="I264" s="2">
        <v>8.6999999999999994E-3</v>
      </c>
    </row>
    <row r="265" spans="1:9" x14ac:dyDescent="0.25">
      <c r="A265" s="3">
        <v>0.3468</v>
      </c>
      <c r="B265" s="2">
        <v>0.69799999999999995</v>
      </c>
      <c r="C265" s="2">
        <v>2.7699999999999999E-2</v>
      </c>
      <c r="D265" s="2">
        <v>0.14480000000000001</v>
      </c>
      <c r="E265" s="2">
        <v>2.5100000000000001E-2</v>
      </c>
      <c r="F265" s="2">
        <v>0.13619999999999999</v>
      </c>
      <c r="G265" s="2">
        <v>1.66E-2</v>
      </c>
      <c r="H265" s="2">
        <v>2.1000000000000001E-2</v>
      </c>
      <c r="I265" s="2">
        <v>8.6999999999999994E-3</v>
      </c>
    </row>
    <row r="266" spans="1:9" x14ac:dyDescent="0.25">
      <c r="A266" s="3">
        <v>0.35</v>
      </c>
      <c r="B266" s="2">
        <v>0.69740000000000002</v>
      </c>
      <c r="C266" s="2">
        <v>2.75E-2</v>
      </c>
      <c r="D266" s="2">
        <v>0.1452</v>
      </c>
      <c r="E266" s="2">
        <v>2.4899999999999999E-2</v>
      </c>
      <c r="F266" s="2">
        <v>0.1366</v>
      </c>
      <c r="G266" s="2">
        <v>1.6500000000000001E-2</v>
      </c>
      <c r="H266" s="2">
        <v>2.0899999999999998E-2</v>
      </c>
      <c r="I266" s="2">
        <v>8.5000000000000006E-3</v>
      </c>
    </row>
    <row r="267" spans="1:9" x14ac:dyDescent="0.25">
      <c r="A267" s="3">
        <v>0.35339999999999999</v>
      </c>
      <c r="B267" s="2">
        <v>0.69669999999999999</v>
      </c>
      <c r="C267" s="2">
        <v>2.7199999999999998E-2</v>
      </c>
      <c r="D267" s="2">
        <v>0.14549999999999999</v>
      </c>
      <c r="E267" s="2">
        <v>2.47E-2</v>
      </c>
      <c r="F267" s="2">
        <v>0.13700000000000001</v>
      </c>
      <c r="G267" s="2">
        <v>1.6400000000000001E-2</v>
      </c>
      <c r="H267" s="2">
        <v>2.0799999999999999E-2</v>
      </c>
      <c r="I267" s="2">
        <v>8.3999999999999995E-3</v>
      </c>
    </row>
    <row r="268" spans="1:9" x14ac:dyDescent="0.25">
      <c r="A268" s="3">
        <v>0.35680000000000001</v>
      </c>
      <c r="B268" s="2">
        <v>0.69599999999999995</v>
      </c>
      <c r="C268" s="2">
        <v>2.7E-2</v>
      </c>
      <c r="D268" s="2">
        <v>0.1459</v>
      </c>
      <c r="E268" s="2">
        <v>2.4400000000000002E-2</v>
      </c>
      <c r="F268" s="2">
        <v>0.13739999999999999</v>
      </c>
      <c r="G268" s="2">
        <v>1.6400000000000001E-2</v>
      </c>
      <c r="H268" s="2">
        <v>2.07E-2</v>
      </c>
      <c r="I268" s="2">
        <v>8.2000000000000007E-3</v>
      </c>
    </row>
    <row r="269" spans="1:9" x14ac:dyDescent="0.25">
      <c r="A269" s="3">
        <v>0.35980000000000001</v>
      </c>
      <c r="B269" s="2">
        <v>0.69540000000000002</v>
      </c>
      <c r="C269" s="2">
        <v>2.6800000000000001E-2</v>
      </c>
      <c r="D269" s="2">
        <v>0.14630000000000001</v>
      </c>
      <c r="E269" s="2">
        <v>2.4199999999999999E-2</v>
      </c>
      <c r="F269" s="2">
        <v>0.13780000000000001</v>
      </c>
      <c r="G269" s="2">
        <v>1.6299999999999999E-2</v>
      </c>
      <c r="H269" s="2">
        <v>2.06E-2</v>
      </c>
      <c r="I269" s="2">
        <v>8.0999999999999996E-3</v>
      </c>
    </row>
    <row r="270" spans="1:9" x14ac:dyDescent="0.25">
      <c r="A270" s="3">
        <v>0.36</v>
      </c>
      <c r="B270" s="2">
        <v>0.69530000000000003</v>
      </c>
      <c r="C270" s="2">
        <v>2.6700000000000002E-2</v>
      </c>
      <c r="D270" s="2">
        <v>0.14630000000000001</v>
      </c>
      <c r="E270" s="2">
        <v>2.4199999999999999E-2</v>
      </c>
      <c r="F270" s="2">
        <v>0.13780000000000001</v>
      </c>
      <c r="G270" s="2">
        <v>1.6299999999999999E-2</v>
      </c>
      <c r="H270" s="2">
        <v>2.06E-2</v>
      </c>
      <c r="I270" s="2">
        <v>8.0999999999999996E-3</v>
      </c>
    </row>
    <row r="271" spans="1:9" x14ac:dyDescent="0.25">
      <c r="A271" s="3">
        <v>0.3634</v>
      </c>
      <c r="B271" s="2">
        <v>0.6946</v>
      </c>
      <c r="C271" s="2">
        <v>2.6499999999999999E-2</v>
      </c>
      <c r="D271" s="2">
        <v>0.1467</v>
      </c>
      <c r="E271" s="2">
        <v>2.4E-2</v>
      </c>
      <c r="F271" s="2">
        <v>0.13819999999999999</v>
      </c>
      <c r="G271" s="2">
        <v>1.6199999999999999E-2</v>
      </c>
      <c r="H271" s="2">
        <v>2.0500000000000001E-2</v>
      </c>
      <c r="I271" s="2">
        <v>7.9000000000000008E-3</v>
      </c>
    </row>
    <row r="272" spans="1:9" x14ac:dyDescent="0.25">
      <c r="A272" s="3">
        <v>0.36659999999999998</v>
      </c>
      <c r="B272" s="2">
        <v>0.69399999999999995</v>
      </c>
      <c r="C272" s="2">
        <v>2.63E-2</v>
      </c>
      <c r="D272" s="2">
        <v>0.14699999999999999</v>
      </c>
      <c r="E272" s="2">
        <v>2.3800000000000002E-2</v>
      </c>
      <c r="F272" s="2">
        <v>0.1386</v>
      </c>
      <c r="G272" s="2">
        <v>1.61E-2</v>
      </c>
      <c r="H272" s="2">
        <v>2.0400000000000001E-2</v>
      </c>
      <c r="I272" s="2">
        <v>7.7999999999999996E-3</v>
      </c>
    </row>
    <row r="273" spans="1:9" x14ac:dyDescent="0.25">
      <c r="A273" s="3">
        <v>0.37319999999999998</v>
      </c>
      <c r="B273" s="2">
        <v>0.69259999999999999</v>
      </c>
      <c r="C273" s="2">
        <v>2.58E-2</v>
      </c>
      <c r="D273" s="2">
        <v>0.14779999999999999</v>
      </c>
      <c r="E273" s="2">
        <v>2.3300000000000001E-2</v>
      </c>
      <c r="F273" s="2">
        <v>0.1394</v>
      </c>
      <c r="G273" s="2">
        <v>1.5900000000000001E-2</v>
      </c>
      <c r="H273" s="2">
        <v>2.0199999999999999E-2</v>
      </c>
      <c r="I273" s="2">
        <v>7.4999999999999997E-3</v>
      </c>
    </row>
    <row r="274" spans="1:9" x14ac:dyDescent="0.25">
      <c r="A274" s="3">
        <v>0.37340000000000001</v>
      </c>
      <c r="B274" s="2">
        <v>0.69259999999999999</v>
      </c>
      <c r="C274" s="2">
        <v>2.58E-2</v>
      </c>
      <c r="D274" s="2">
        <v>0.14779999999999999</v>
      </c>
      <c r="E274" s="2">
        <v>2.3300000000000001E-2</v>
      </c>
      <c r="F274" s="2">
        <v>0.13950000000000001</v>
      </c>
      <c r="G274" s="2">
        <v>1.5900000000000001E-2</v>
      </c>
      <c r="H274" s="2">
        <v>2.0199999999999999E-2</v>
      </c>
      <c r="I274" s="2">
        <v>7.4999999999999997E-3</v>
      </c>
    </row>
    <row r="275" spans="1:9" x14ac:dyDescent="0.25">
      <c r="A275" s="3">
        <v>0.37659999999999999</v>
      </c>
      <c r="B275" s="2">
        <v>0.69189999999999996</v>
      </c>
      <c r="C275" s="2">
        <v>2.5600000000000001E-2</v>
      </c>
      <c r="D275" s="2">
        <v>0.14810000000000001</v>
      </c>
      <c r="E275" s="2">
        <v>2.3099999999999999E-2</v>
      </c>
      <c r="F275" s="2">
        <v>0.1399</v>
      </c>
      <c r="G275" s="2">
        <v>1.5900000000000001E-2</v>
      </c>
      <c r="H275" s="2">
        <v>2.01E-2</v>
      </c>
      <c r="I275" s="2">
        <v>7.4000000000000003E-3</v>
      </c>
    </row>
    <row r="276" spans="1:9" x14ac:dyDescent="0.25">
      <c r="A276" s="3">
        <v>0.38</v>
      </c>
      <c r="B276" s="2">
        <v>0.69120000000000004</v>
      </c>
      <c r="C276" s="2">
        <v>2.53E-2</v>
      </c>
      <c r="D276" s="2">
        <v>0.14849999999999999</v>
      </c>
      <c r="E276" s="2">
        <v>2.29E-2</v>
      </c>
      <c r="F276" s="2">
        <v>0.14030000000000001</v>
      </c>
      <c r="G276" s="2">
        <v>1.5800000000000002E-2</v>
      </c>
      <c r="H276" s="2">
        <v>0.02</v>
      </c>
      <c r="I276" s="2">
        <v>7.3000000000000001E-3</v>
      </c>
    </row>
    <row r="277" spans="1:9" x14ac:dyDescent="0.25">
      <c r="A277" s="3">
        <v>0.38319999999999999</v>
      </c>
      <c r="B277" s="2">
        <v>0.69059999999999999</v>
      </c>
      <c r="C277" s="2">
        <v>2.5100000000000001E-2</v>
      </c>
      <c r="D277" s="2">
        <v>0.1489</v>
      </c>
      <c r="E277" s="2">
        <v>2.2700000000000001E-2</v>
      </c>
      <c r="F277" s="2">
        <v>0.14069999999999999</v>
      </c>
      <c r="G277" s="2">
        <v>1.5699999999999999E-2</v>
      </c>
      <c r="H277" s="2">
        <v>1.9900000000000001E-2</v>
      </c>
      <c r="I277" s="2">
        <v>7.1999999999999998E-3</v>
      </c>
    </row>
    <row r="278" spans="1:9" x14ac:dyDescent="0.25">
      <c r="A278" s="3">
        <v>0.38340000000000002</v>
      </c>
      <c r="B278" s="2">
        <v>0.6905</v>
      </c>
      <c r="C278" s="2">
        <v>2.5100000000000001E-2</v>
      </c>
      <c r="D278" s="2">
        <v>0.1489</v>
      </c>
      <c r="E278" s="2">
        <v>2.2700000000000001E-2</v>
      </c>
      <c r="F278" s="2">
        <v>0.14069999999999999</v>
      </c>
      <c r="G278" s="2">
        <v>1.5699999999999999E-2</v>
      </c>
      <c r="H278" s="2">
        <v>1.9900000000000001E-2</v>
      </c>
      <c r="I278" s="2">
        <v>7.1000000000000004E-3</v>
      </c>
    </row>
    <row r="279" spans="1:9" x14ac:dyDescent="0.25">
      <c r="A279" s="3">
        <v>0.3866</v>
      </c>
      <c r="B279" s="2">
        <v>0.68979999999999997</v>
      </c>
      <c r="C279" s="2">
        <v>2.4899999999999999E-2</v>
      </c>
      <c r="D279" s="2">
        <v>0.14929999999999999</v>
      </c>
      <c r="E279" s="2">
        <v>2.2499999999999999E-2</v>
      </c>
      <c r="F279" s="2">
        <v>0.1411</v>
      </c>
      <c r="G279" s="2">
        <v>1.5599999999999999E-2</v>
      </c>
      <c r="H279" s="2">
        <v>1.9800000000000002E-2</v>
      </c>
      <c r="I279" s="2">
        <v>7.0000000000000001E-3</v>
      </c>
    </row>
    <row r="280" spans="1:9" x14ac:dyDescent="0.25">
      <c r="A280" s="3">
        <v>0.38679999999999998</v>
      </c>
      <c r="B280" s="2">
        <v>0.68979999999999997</v>
      </c>
      <c r="C280" s="2">
        <v>2.4899999999999999E-2</v>
      </c>
      <c r="D280" s="2">
        <v>0.14929999999999999</v>
      </c>
      <c r="E280" s="2">
        <v>2.2499999999999999E-2</v>
      </c>
      <c r="F280" s="2">
        <v>0.1411</v>
      </c>
      <c r="G280" s="2">
        <v>1.5599999999999999E-2</v>
      </c>
      <c r="H280" s="2">
        <v>1.9800000000000002E-2</v>
      </c>
      <c r="I280" s="2">
        <v>7.0000000000000001E-3</v>
      </c>
    </row>
    <row r="281" spans="1:9" x14ac:dyDescent="0.25">
      <c r="A281" s="3">
        <v>0.38979999999999998</v>
      </c>
      <c r="B281" s="2">
        <v>0.68920000000000003</v>
      </c>
      <c r="C281" s="2">
        <v>2.46E-2</v>
      </c>
      <c r="D281" s="2">
        <v>0.14960000000000001</v>
      </c>
      <c r="E281" s="2">
        <v>2.23E-2</v>
      </c>
      <c r="F281" s="2">
        <v>0.14149999999999999</v>
      </c>
      <c r="G281" s="2">
        <v>1.55E-2</v>
      </c>
      <c r="H281" s="2">
        <v>1.9699999999999999E-2</v>
      </c>
      <c r="I281" s="2">
        <v>6.8999999999999999E-3</v>
      </c>
    </row>
    <row r="282" spans="1:9" x14ac:dyDescent="0.25">
      <c r="A282" s="3">
        <v>0.39</v>
      </c>
      <c r="B282" s="2">
        <v>0.68910000000000005</v>
      </c>
      <c r="C282" s="2">
        <v>2.46E-2</v>
      </c>
      <c r="D282" s="2">
        <v>0.1497</v>
      </c>
      <c r="E282" s="2">
        <v>2.23E-2</v>
      </c>
      <c r="F282" s="2">
        <v>0.14149999999999999</v>
      </c>
      <c r="G282" s="2">
        <v>1.55E-2</v>
      </c>
      <c r="H282" s="2">
        <v>1.9699999999999999E-2</v>
      </c>
      <c r="I282" s="2">
        <v>6.8999999999999999E-3</v>
      </c>
    </row>
    <row r="283" spans="1:9" x14ac:dyDescent="0.25">
      <c r="A283" s="3">
        <v>0.39319999999999999</v>
      </c>
      <c r="B283" s="2">
        <v>0.6885</v>
      </c>
      <c r="C283" s="2">
        <v>2.4400000000000002E-2</v>
      </c>
      <c r="D283" s="2">
        <v>0.15</v>
      </c>
      <c r="E283" s="2">
        <v>2.1999999999999999E-2</v>
      </c>
      <c r="F283" s="2">
        <v>0.14199999999999999</v>
      </c>
      <c r="G283" s="2">
        <v>1.55E-2</v>
      </c>
      <c r="H283" s="2">
        <v>1.9599999999999999E-2</v>
      </c>
      <c r="I283" s="2">
        <v>6.7999999999999996E-3</v>
      </c>
    </row>
    <row r="284" spans="1:9" x14ac:dyDescent="0.25">
      <c r="A284" s="3">
        <v>0.39340000000000003</v>
      </c>
      <c r="B284" s="2">
        <v>0.68840000000000001</v>
      </c>
      <c r="C284" s="2">
        <v>2.4400000000000002E-2</v>
      </c>
      <c r="D284" s="2">
        <v>0.15</v>
      </c>
      <c r="E284" s="2">
        <v>2.1999999999999999E-2</v>
      </c>
      <c r="F284" s="2">
        <v>0.14199999999999999</v>
      </c>
      <c r="G284" s="2">
        <v>1.55E-2</v>
      </c>
      <c r="H284" s="2">
        <v>1.9599999999999999E-2</v>
      </c>
      <c r="I284" s="2">
        <v>6.7999999999999996E-3</v>
      </c>
    </row>
    <row r="285" spans="1:9" x14ac:dyDescent="0.25">
      <c r="A285" s="3">
        <v>0.39660000000000001</v>
      </c>
      <c r="B285" s="2">
        <v>0.68779999999999997</v>
      </c>
      <c r="C285" s="2">
        <v>2.4199999999999999E-2</v>
      </c>
      <c r="D285" s="2">
        <v>0.15040000000000001</v>
      </c>
      <c r="E285" s="2">
        <v>2.18E-2</v>
      </c>
      <c r="F285" s="2">
        <v>0.1424</v>
      </c>
      <c r="G285" s="2">
        <v>1.54E-2</v>
      </c>
      <c r="H285" s="2">
        <v>1.95E-2</v>
      </c>
      <c r="I285" s="2">
        <v>6.7000000000000002E-3</v>
      </c>
    </row>
    <row r="286" spans="1:9" x14ac:dyDescent="0.25">
      <c r="A286" s="3">
        <v>0.39679999999999999</v>
      </c>
      <c r="B286" s="2">
        <v>0.68769999999999998</v>
      </c>
      <c r="C286" s="2">
        <v>2.4199999999999999E-2</v>
      </c>
      <c r="D286" s="2">
        <v>0.15040000000000001</v>
      </c>
      <c r="E286" s="2">
        <v>2.18E-2</v>
      </c>
      <c r="F286" s="2">
        <v>0.1424</v>
      </c>
      <c r="G286" s="2">
        <v>1.54E-2</v>
      </c>
      <c r="H286" s="2">
        <v>1.95E-2</v>
      </c>
      <c r="I286" s="2">
        <v>6.7000000000000002E-3</v>
      </c>
    </row>
    <row r="287" spans="1:9" x14ac:dyDescent="0.25">
      <c r="A287" s="3">
        <v>0.39979999999999999</v>
      </c>
      <c r="B287" s="2">
        <v>0.68710000000000004</v>
      </c>
      <c r="C287" s="2">
        <v>2.4E-2</v>
      </c>
      <c r="D287" s="2">
        <v>0.15079999999999999</v>
      </c>
      <c r="E287" s="2">
        <v>2.1600000000000001E-2</v>
      </c>
      <c r="F287" s="2">
        <v>0.14280000000000001</v>
      </c>
      <c r="G287" s="2">
        <v>1.5299999999999999E-2</v>
      </c>
      <c r="H287" s="2">
        <v>1.9400000000000001E-2</v>
      </c>
      <c r="I287" s="2">
        <v>6.6E-3</v>
      </c>
    </row>
    <row r="288" spans="1:9" x14ac:dyDescent="0.25">
      <c r="A288" s="3">
        <v>0.4</v>
      </c>
      <c r="B288" s="2">
        <v>0.68700000000000006</v>
      </c>
      <c r="C288" s="2">
        <v>2.4E-2</v>
      </c>
      <c r="D288" s="2">
        <v>0.15079999999999999</v>
      </c>
      <c r="E288" s="2">
        <v>2.1600000000000001E-2</v>
      </c>
      <c r="F288" s="2">
        <v>0.14280000000000001</v>
      </c>
      <c r="G288" s="2">
        <v>1.5299999999999999E-2</v>
      </c>
      <c r="H288" s="2">
        <v>1.9400000000000001E-2</v>
      </c>
      <c r="I288" s="2">
        <v>6.6E-3</v>
      </c>
    </row>
    <row r="289" spans="1:9" x14ac:dyDescent="0.25">
      <c r="A289" s="3">
        <v>0.4002</v>
      </c>
      <c r="B289" s="2">
        <v>0.68700000000000006</v>
      </c>
      <c r="C289" s="2">
        <v>2.4E-2</v>
      </c>
      <c r="D289" s="2">
        <v>0.15079999999999999</v>
      </c>
      <c r="E289" s="2">
        <v>2.1600000000000001E-2</v>
      </c>
      <c r="F289" s="2">
        <v>0.14280000000000001</v>
      </c>
      <c r="G289" s="2">
        <v>1.5299999999999999E-2</v>
      </c>
      <c r="H289" s="2">
        <v>1.9400000000000001E-2</v>
      </c>
      <c r="I289" s="2">
        <v>6.4999999999999997E-3</v>
      </c>
    </row>
    <row r="290" spans="1:9" x14ac:dyDescent="0.25">
      <c r="A290" s="3">
        <v>0.41</v>
      </c>
      <c r="B290" s="2">
        <v>0.68489999999999995</v>
      </c>
      <c r="C290" s="2">
        <v>2.3300000000000001E-2</v>
      </c>
      <c r="D290" s="2">
        <v>0.15190000000000001</v>
      </c>
      <c r="E290" s="2">
        <v>2.1000000000000001E-2</v>
      </c>
      <c r="F290" s="2">
        <v>0.14410000000000001</v>
      </c>
      <c r="G290" s="2">
        <v>1.5100000000000001E-2</v>
      </c>
      <c r="H290" s="2">
        <v>1.9099999999999999E-2</v>
      </c>
      <c r="I290" s="2">
        <v>6.1999999999999998E-3</v>
      </c>
    </row>
    <row r="291" spans="1:9" x14ac:dyDescent="0.25">
      <c r="A291" s="3">
        <v>0.41320000000000001</v>
      </c>
      <c r="B291" s="2">
        <v>0.68420000000000003</v>
      </c>
      <c r="C291" s="2">
        <v>2.3099999999999999E-2</v>
      </c>
      <c r="D291" s="2">
        <v>0.15229999999999999</v>
      </c>
      <c r="E291" s="2">
        <v>2.0799999999999999E-2</v>
      </c>
      <c r="F291" s="2">
        <v>0.14449999999999999</v>
      </c>
      <c r="G291" s="2">
        <v>1.4999999999999999E-2</v>
      </c>
      <c r="H291" s="2">
        <v>1.9E-2</v>
      </c>
      <c r="I291" s="2">
        <v>6.1000000000000004E-3</v>
      </c>
    </row>
    <row r="292" spans="1:9" x14ac:dyDescent="0.25">
      <c r="A292" s="3">
        <v>0.41339999999999999</v>
      </c>
      <c r="B292" s="2">
        <v>0.68420000000000003</v>
      </c>
      <c r="C292" s="2">
        <v>2.3099999999999999E-2</v>
      </c>
      <c r="D292" s="2">
        <v>0.15229999999999999</v>
      </c>
      <c r="E292" s="2">
        <v>2.0799999999999999E-2</v>
      </c>
      <c r="F292" s="2">
        <v>0.14449999999999999</v>
      </c>
      <c r="G292" s="2">
        <v>1.4999999999999999E-2</v>
      </c>
      <c r="H292" s="2">
        <v>1.9E-2</v>
      </c>
      <c r="I292" s="2">
        <v>6.1000000000000004E-3</v>
      </c>
    </row>
    <row r="293" spans="1:9" x14ac:dyDescent="0.25">
      <c r="A293" s="3">
        <v>0.41660000000000003</v>
      </c>
      <c r="B293" s="2">
        <v>0.6835</v>
      </c>
      <c r="C293" s="2">
        <v>2.29E-2</v>
      </c>
      <c r="D293" s="2">
        <v>0.1527</v>
      </c>
      <c r="E293" s="2">
        <v>2.06E-2</v>
      </c>
      <c r="F293" s="2">
        <v>0.1449</v>
      </c>
      <c r="G293" s="2">
        <v>1.4999999999999999E-2</v>
      </c>
      <c r="H293" s="2">
        <v>1.89E-2</v>
      </c>
      <c r="I293" s="2">
        <v>6.0000000000000001E-3</v>
      </c>
    </row>
    <row r="294" spans="1:9" x14ac:dyDescent="0.25">
      <c r="A294" s="3">
        <v>0.4234</v>
      </c>
      <c r="B294" s="2">
        <v>0.68210000000000004</v>
      </c>
      <c r="C294" s="2">
        <v>2.2499999999999999E-2</v>
      </c>
      <c r="D294" s="2">
        <v>0.1535</v>
      </c>
      <c r="E294" s="2">
        <v>2.0199999999999999E-2</v>
      </c>
      <c r="F294" s="2">
        <v>0.14580000000000001</v>
      </c>
      <c r="G294" s="2">
        <v>1.4800000000000001E-2</v>
      </c>
      <c r="H294" s="2">
        <v>1.8700000000000001E-2</v>
      </c>
      <c r="I294" s="2">
        <v>5.7999999999999996E-3</v>
      </c>
    </row>
    <row r="295" spans="1:9" x14ac:dyDescent="0.25">
      <c r="A295" s="3">
        <v>0.42659999999999998</v>
      </c>
      <c r="B295" s="2">
        <v>0.68140000000000001</v>
      </c>
      <c r="C295" s="2">
        <v>2.23E-2</v>
      </c>
      <c r="D295" s="2">
        <v>0.15379999999999999</v>
      </c>
      <c r="E295" s="2">
        <v>0.02</v>
      </c>
      <c r="F295" s="2">
        <v>0.1462</v>
      </c>
      <c r="G295" s="2">
        <v>1.4800000000000001E-2</v>
      </c>
      <c r="H295" s="2">
        <v>1.8599999999999998E-2</v>
      </c>
      <c r="I295" s="2">
        <v>5.7000000000000002E-3</v>
      </c>
    </row>
    <row r="296" spans="1:9" x14ac:dyDescent="0.25">
      <c r="A296" s="3">
        <v>0.42680000000000001</v>
      </c>
      <c r="B296" s="2">
        <v>0.68130000000000002</v>
      </c>
      <c r="C296" s="2">
        <v>2.23E-2</v>
      </c>
      <c r="D296" s="2">
        <v>0.15379999999999999</v>
      </c>
      <c r="E296" s="2">
        <v>0.02</v>
      </c>
      <c r="F296" s="2">
        <v>0.1462</v>
      </c>
      <c r="G296" s="2">
        <v>1.4800000000000001E-2</v>
      </c>
      <c r="H296" s="2">
        <v>1.8599999999999998E-2</v>
      </c>
      <c r="I296" s="2">
        <v>5.7000000000000002E-3</v>
      </c>
    </row>
    <row r="297" spans="1:9" x14ac:dyDescent="0.25">
      <c r="A297" s="3">
        <v>0.43340000000000001</v>
      </c>
      <c r="B297" s="2">
        <v>0.67989999999999995</v>
      </c>
      <c r="C297" s="2">
        <v>2.1999999999999999E-2</v>
      </c>
      <c r="D297" s="2">
        <v>0.15459999999999999</v>
      </c>
      <c r="E297" s="2">
        <v>1.9599999999999999E-2</v>
      </c>
      <c r="F297" s="2">
        <v>0.14710000000000001</v>
      </c>
      <c r="G297" s="2">
        <v>1.46E-2</v>
      </c>
      <c r="H297" s="2">
        <v>1.84E-2</v>
      </c>
      <c r="I297" s="2">
        <v>5.5999999999999999E-3</v>
      </c>
    </row>
    <row r="298" spans="1:9" x14ac:dyDescent="0.25">
      <c r="A298" s="3">
        <v>0.44</v>
      </c>
      <c r="B298" s="2">
        <v>0.67849999999999999</v>
      </c>
      <c r="C298" s="2">
        <v>2.1600000000000001E-2</v>
      </c>
      <c r="D298" s="2">
        <v>0.15540000000000001</v>
      </c>
      <c r="E298" s="2">
        <v>1.9300000000000001E-2</v>
      </c>
      <c r="F298" s="2">
        <v>0.1479</v>
      </c>
      <c r="G298" s="2">
        <v>1.4500000000000001E-2</v>
      </c>
      <c r="H298" s="2">
        <v>1.8200000000000001E-2</v>
      </c>
      <c r="I298" s="2">
        <v>5.4000000000000003E-3</v>
      </c>
    </row>
    <row r="299" spans="1:9" x14ac:dyDescent="0.25">
      <c r="A299" s="3">
        <v>0.44019999999999998</v>
      </c>
      <c r="B299" s="2">
        <v>0.67849999999999999</v>
      </c>
      <c r="C299" s="2">
        <v>2.1600000000000001E-2</v>
      </c>
      <c r="D299" s="2">
        <v>0.15540000000000001</v>
      </c>
      <c r="E299" s="2">
        <v>1.9300000000000001E-2</v>
      </c>
      <c r="F299" s="2">
        <v>0.14799999999999999</v>
      </c>
      <c r="G299" s="2">
        <v>1.4500000000000001E-2</v>
      </c>
      <c r="H299" s="2">
        <v>1.8200000000000001E-2</v>
      </c>
      <c r="I299" s="2">
        <v>5.4000000000000003E-3</v>
      </c>
    </row>
    <row r="300" spans="1:9" x14ac:dyDescent="0.25">
      <c r="A300" s="3">
        <v>0.44319999999999998</v>
      </c>
      <c r="B300" s="2">
        <v>0.67779999999999996</v>
      </c>
      <c r="C300" s="2">
        <v>2.1499999999999998E-2</v>
      </c>
      <c r="D300" s="2">
        <v>0.15570000000000001</v>
      </c>
      <c r="E300" s="2">
        <v>1.9099999999999999E-2</v>
      </c>
      <c r="F300" s="2">
        <v>0.1484</v>
      </c>
      <c r="G300" s="2">
        <v>1.4500000000000001E-2</v>
      </c>
      <c r="H300" s="2">
        <v>1.8100000000000002E-2</v>
      </c>
      <c r="I300" s="2">
        <v>5.3E-3</v>
      </c>
    </row>
    <row r="301" spans="1:9" x14ac:dyDescent="0.25">
      <c r="A301" s="3">
        <v>0.44340000000000002</v>
      </c>
      <c r="B301" s="2">
        <v>0.67779999999999996</v>
      </c>
      <c r="C301" s="2">
        <v>2.1399999999999999E-2</v>
      </c>
      <c r="D301" s="2">
        <v>0.15579999999999999</v>
      </c>
      <c r="E301" s="2">
        <v>1.9099999999999999E-2</v>
      </c>
      <c r="F301" s="2">
        <v>0.1484</v>
      </c>
      <c r="G301" s="2">
        <v>1.4500000000000001E-2</v>
      </c>
      <c r="H301" s="2">
        <v>1.8100000000000002E-2</v>
      </c>
      <c r="I301" s="2">
        <v>5.3E-3</v>
      </c>
    </row>
    <row r="302" spans="1:9" x14ac:dyDescent="0.25">
      <c r="A302" s="3">
        <v>0.4466</v>
      </c>
      <c r="B302" s="2">
        <v>0.67710000000000004</v>
      </c>
      <c r="C302" s="2">
        <v>2.1299999999999999E-2</v>
      </c>
      <c r="D302" s="2">
        <v>0.15609999999999999</v>
      </c>
      <c r="E302" s="2">
        <v>1.89E-2</v>
      </c>
      <c r="F302" s="2">
        <v>0.14879999999999999</v>
      </c>
      <c r="G302" s="2">
        <v>1.44E-2</v>
      </c>
      <c r="H302" s="2">
        <v>1.7999999999999999E-2</v>
      </c>
      <c r="I302" s="2">
        <v>5.1999999999999998E-3</v>
      </c>
    </row>
    <row r="303" spans="1:9" x14ac:dyDescent="0.25">
      <c r="A303" s="3">
        <v>0.44679999999999997</v>
      </c>
      <c r="B303" s="2">
        <v>0.67700000000000005</v>
      </c>
      <c r="C303" s="2">
        <v>2.1299999999999999E-2</v>
      </c>
      <c r="D303" s="2">
        <v>0.15609999999999999</v>
      </c>
      <c r="E303" s="2">
        <v>1.89E-2</v>
      </c>
      <c r="F303" s="2">
        <v>0.14879999999999999</v>
      </c>
      <c r="G303" s="2">
        <v>1.44E-2</v>
      </c>
      <c r="H303" s="2">
        <v>1.7999999999999999E-2</v>
      </c>
      <c r="I303" s="2">
        <v>5.1999999999999998E-3</v>
      </c>
    </row>
    <row r="304" spans="1:9" x14ac:dyDescent="0.25">
      <c r="A304" s="3">
        <v>0.45</v>
      </c>
      <c r="B304" s="2">
        <v>0.67630000000000001</v>
      </c>
      <c r="C304" s="2">
        <v>2.1100000000000001E-2</v>
      </c>
      <c r="D304" s="2">
        <v>0.1565</v>
      </c>
      <c r="E304" s="2">
        <v>1.8700000000000001E-2</v>
      </c>
      <c r="F304" s="2">
        <v>0.1492</v>
      </c>
      <c r="G304" s="2">
        <v>1.44E-2</v>
      </c>
      <c r="H304" s="2">
        <v>1.7899999999999999E-2</v>
      </c>
      <c r="I304" s="2">
        <v>5.1999999999999998E-3</v>
      </c>
    </row>
    <row r="305" spans="1:9" x14ac:dyDescent="0.25">
      <c r="A305" s="3">
        <v>0.45019999999999999</v>
      </c>
      <c r="B305" s="2">
        <v>0.67630000000000001</v>
      </c>
      <c r="C305" s="2">
        <v>2.1100000000000001E-2</v>
      </c>
      <c r="D305" s="2">
        <v>0.1565</v>
      </c>
      <c r="E305" s="2">
        <v>1.8700000000000001E-2</v>
      </c>
      <c r="F305" s="2">
        <v>0.14929999999999999</v>
      </c>
      <c r="G305" s="2">
        <v>1.44E-2</v>
      </c>
      <c r="H305" s="2">
        <v>1.7899999999999999E-2</v>
      </c>
      <c r="I305" s="2">
        <v>5.1000000000000004E-3</v>
      </c>
    </row>
    <row r="306" spans="1:9" x14ac:dyDescent="0.25">
      <c r="A306" s="3">
        <v>0.45319999999999999</v>
      </c>
      <c r="B306" s="2">
        <v>0.67559999999999998</v>
      </c>
      <c r="C306" s="2">
        <v>2.1000000000000001E-2</v>
      </c>
      <c r="D306" s="2">
        <v>0.15690000000000001</v>
      </c>
      <c r="E306" s="2">
        <v>1.8599999999999998E-2</v>
      </c>
      <c r="F306" s="2">
        <v>0.1497</v>
      </c>
      <c r="G306" s="2">
        <v>1.43E-2</v>
      </c>
      <c r="H306" s="2">
        <v>1.78E-2</v>
      </c>
      <c r="I306" s="2">
        <v>5.1000000000000004E-3</v>
      </c>
    </row>
    <row r="307" spans="1:9" x14ac:dyDescent="0.25">
      <c r="A307" s="3">
        <v>0.45340000000000003</v>
      </c>
      <c r="B307" s="2">
        <v>0.67559999999999998</v>
      </c>
      <c r="C307" s="2">
        <v>2.1000000000000001E-2</v>
      </c>
      <c r="D307" s="2">
        <v>0.15690000000000001</v>
      </c>
      <c r="E307" s="2">
        <v>1.8599999999999998E-2</v>
      </c>
      <c r="F307" s="2">
        <v>0.1497</v>
      </c>
      <c r="G307" s="2">
        <v>1.43E-2</v>
      </c>
      <c r="H307" s="2">
        <v>1.78E-2</v>
      </c>
      <c r="I307" s="2">
        <v>5.1000000000000004E-3</v>
      </c>
    </row>
    <row r="308" spans="1:9" x14ac:dyDescent="0.25">
      <c r="A308" s="3">
        <v>0.45979999999999999</v>
      </c>
      <c r="B308" s="2">
        <v>0.67420000000000002</v>
      </c>
      <c r="C308" s="2">
        <v>2.07E-2</v>
      </c>
      <c r="D308" s="2">
        <v>0.15770000000000001</v>
      </c>
      <c r="E308" s="2">
        <v>1.83E-2</v>
      </c>
      <c r="F308" s="2">
        <v>0.15049999999999999</v>
      </c>
      <c r="G308" s="2">
        <v>1.43E-2</v>
      </c>
      <c r="H308" s="2">
        <v>1.7600000000000001E-2</v>
      </c>
      <c r="I308" s="2">
        <v>5.0000000000000001E-3</v>
      </c>
    </row>
    <row r="309" spans="1:9" x14ac:dyDescent="0.25">
      <c r="A309" s="3">
        <v>0.46</v>
      </c>
      <c r="B309" s="2">
        <v>0.67410000000000003</v>
      </c>
      <c r="C309" s="2">
        <v>2.07E-2</v>
      </c>
      <c r="D309" s="2">
        <v>0.15770000000000001</v>
      </c>
      <c r="E309" s="2">
        <v>1.83E-2</v>
      </c>
      <c r="F309" s="2">
        <v>0.15049999999999999</v>
      </c>
      <c r="G309" s="2">
        <v>1.43E-2</v>
      </c>
      <c r="H309" s="2">
        <v>1.7600000000000001E-2</v>
      </c>
      <c r="I309" s="2">
        <v>4.8999999999999998E-3</v>
      </c>
    </row>
    <row r="310" spans="1:9" x14ac:dyDescent="0.25">
      <c r="A310" s="3">
        <v>0.46339999999999998</v>
      </c>
      <c r="B310" s="2">
        <v>0.6734</v>
      </c>
      <c r="C310" s="2">
        <v>2.0500000000000001E-2</v>
      </c>
      <c r="D310" s="2">
        <v>0.15809999999999999</v>
      </c>
      <c r="E310" s="2">
        <v>1.8100000000000002E-2</v>
      </c>
      <c r="F310" s="2">
        <v>0.151</v>
      </c>
      <c r="G310" s="2">
        <v>1.4200000000000001E-2</v>
      </c>
      <c r="H310" s="2">
        <v>1.7500000000000002E-2</v>
      </c>
      <c r="I310" s="2">
        <v>4.8999999999999998E-3</v>
      </c>
    </row>
    <row r="311" spans="1:9" x14ac:dyDescent="0.25">
      <c r="A311" s="3">
        <v>0.46660000000000001</v>
      </c>
      <c r="B311" s="2">
        <v>0.67269999999999996</v>
      </c>
      <c r="C311" s="2">
        <v>2.0400000000000001E-2</v>
      </c>
      <c r="D311" s="2">
        <v>0.15840000000000001</v>
      </c>
      <c r="E311" s="2">
        <v>1.7999999999999999E-2</v>
      </c>
      <c r="F311" s="2">
        <v>0.15140000000000001</v>
      </c>
      <c r="G311" s="2">
        <v>1.4200000000000001E-2</v>
      </c>
      <c r="H311" s="2">
        <v>1.7399999999999999E-2</v>
      </c>
      <c r="I311" s="2">
        <v>4.7999999999999996E-3</v>
      </c>
    </row>
    <row r="312" spans="1:9" x14ac:dyDescent="0.25">
      <c r="A312" s="3">
        <v>0.46679999999999999</v>
      </c>
      <c r="B312" s="2">
        <v>0.67269999999999996</v>
      </c>
      <c r="C312" s="2">
        <v>2.0400000000000001E-2</v>
      </c>
      <c r="D312" s="2">
        <v>0.1585</v>
      </c>
      <c r="E312" s="2">
        <v>1.7999999999999999E-2</v>
      </c>
      <c r="F312" s="2">
        <v>0.15140000000000001</v>
      </c>
      <c r="G312" s="2">
        <v>1.4200000000000001E-2</v>
      </c>
      <c r="H312" s="2">
        <v>1.7399999999999999E-2</v>
      </c>
      <c r="I312" s="2">
        <v>4.7999999999999996E-3</v>
      </c>
    </row>
    <row r="313" spans="1:9" x14ac:dyDescent="0.25">
      <c r="A313" s="3">
        <v>0.4698</v>
      </c>
      <c r="B313" s="2">
        <v>0.67200000000000004</v>
      </c>
      <c r="C313" s="2">
        <v>2.0299999999999999E-2</v>
      </c>
      <c r="D313" s="2">
        <v>0.1588</v>
      </c>
      <c r="E313" s="2">
        <v>1.78E-2</v>
      </c>
      <c r="F313" s="2">
        <v>0.15179999999999999</v>
      </c>
      <c r="G313" s="2">
        <v>1.41E-2</v>
      </c>
      <c r="H313" s="2">
        <v>1.7399999999999999E-2</v>
      </c>
      <c r="I313" s="2">
        <v>4.7999999999999996E-3</v>
      </c>
    </row>
    <row r="314" spans="1:9" x14ac:dyDescent="0.25">
      <c r="A314" s="3">
        <v>0.47</v>
      </c>
      <c r="B314" s="2">
        <v>0.67200000000000004</v>
      </c>
      <c r="C314" s="2">
        <v>2.0299999999999999E-2</v>
      </c>
      <c r="D314" s="2">
        <v>0.1588</v>
      </c>
      <c r="E314" s="2">
        <v>1.78E-2</v>
      </c>
      <c r="F314" s="2">
        <v>0.15190000000000001</v>
      </c>
      <c r="G314" s="2">
        <v>1.41E-2</v>
      </c>
      <c r="H314" s="2">
        <v>1.7399999999999999E-2</v>
      </c>
      <c r="I314" s="2">
        <v>4.7999999999999996E-3</v>
      </c>
    </row>
    <row r="315" spans="1:9" x14ac:dyDescent="0.25">
      <c r="A315" s="3">
        <v>0.47660000000000002</v>
      </c>
      <c r="B315" s="2">
        <v>0.67049999999999998</v>
      </c>
      <c r="C315" s="2">
        <v>0.02</v>
      </c>
      <c r="D315" s="2">
        <v>0.15959999999999999</v>
      </c>
      <c r="E315" s="2">
        <v>1.7500000000000002E-2</v>
      </c>
      <c r="F315" s="2">
        <v>0.1527</v>
      </c>
      <c r="G315" s="2">
        <v>1.41E-2</v>
      </c>
      <c r="H315" s="2">
        <v>1.72E-2</v>
      </c>
      <c r="I315" s="2">
        <v>4.7000000000000002E-3</v>
      </c>
    </row>
    <row r="316" spans="1:9" x14ac:dyDescent="0.25">
      <c r="A316" s="3">
        <v>0.4768</v>
      </c>
      <c r="B316" s="2">
        <v>0.6704</v>
      </c>
      <c r="C316" s="2">
        <v>0.02</v>
      </c>
      <c r="D316" s="2">
        <v>0.15959999999999999</v>
      </c>
      <c r="E316" s="2">
        <v>1.7500000000000002E-2</v>
      </c>
      <c r="F316" s="2">
        <v>0.15279999999999999</v>
      </c>
      <c r="G316" s="2">
        <v>1.41E-2</v>
      </c>
      <c r="H316" s="2">
        <v>1.72E-2</v>
      </c>
      <c r="I316" s="2">
        <v>4.7000000000000002E-3</v>
      </c>
    </row>
    <row r="317" spans="1:9" x14ac:dyDescent="0.25">
      <c r="A317" s="3">
        <v>0.48</v>
      </c>
      <c r="B317" s="2">
        <v>0.66969999999999996</v>
      </c>
      <c r="C317" s="2">
        <v>1.9900000000000001E-2</v>
      </c>
      <c r="D317" s="2">
        <v>0.16</v>
      </c>
      <c r="E317" s="2">
        <v>1.7399999999999999E-2</v>
      </c>
      <c r="F317" s="2">
        <v>0.1532</v>
      </c>
      <c r="G317" s="2">
        <v>1.41E-2</v>
      </c>
      <c r="H317" s="2">
        <v>1.7100000000000001E-2</v>
      </c>
      <c r="I317" s="2">
        <v>4.5999999999999999E-3</v>
      </c>
    </row>
    <row r="318" spans="1:9" x14ac:dyDescent="0.25">
      <c r="A318" s="3">
        <v>0.48020000000000002</v>
      </c>
      <c r="B318" s="2">
        <v>0.66969999999999996</v>
      </c>
      <c r="C318" s="2">
        <v>1.9900000000000001E-2</v>
      </c>
      <c r="D318" s="2">
        <v>0.16</v>
      </c>
      <c r="E318" s="2">
        <v>1.7399999999999999E-2</v>
      </c>
      <c r="F318" s="2">
        <v>0.1532</v>
      </c>
      <c r="G318" s="2">
        <v>1.4E-2</v>
      </c>
      <c r="H318" s="2">
        <v>1.7100000000000001E-2</v>
      </c>
      <c r="I318" s="2">
        <v>4.5999999999999999E-3</v>
      </c>
    </row>
    <row r="319" spans="1:9" x14ac:dyDescent="0.25">
      <c r="A319" s="3">
        <v>0.48320000000000002</v>
      </c>
      <c r="B319" s="2">
        <v>0.66900000000000004</v>
      </c>
      <c r="C319" s="2">
        <v>1.9800000000000002E-2</v>
      </c>
      <c r="D319" s="2">
        <v>0.16039999999999999</v>
      </c>
      <c r="E319" s="2">
        <v>1.7299999999999999E-2</v>
      </c>
      <c r="F319" s="2">
        <v>0.15359999999999999</v>
      </c>
      <c r="G319" s="2">
        <v>1.4E-2</v>
      </c>
      <c r="H319" s="2">
        <v>1.7000000000000001E-2</v>
      </c>
      <c r="I319" s="2">
        <v>4.5999999999999999E-3</v>
      </c>
    </row>
    <row r="320" spans="1:9" x14ac:dyDescent="0.25">
      <c r="A320" s="3">
        <v>0.4834</v>
      </c>
      <c r="B320" s="2">
        <v>0.66900000000000004</v>
      </c>
      <c r="C320" s="2">
        <v>1.9800000000000002E-2</v>
      </c>
      <c r="D320" s="2">
        <v>0.16039999999999999</v>
      </c>
      <c r="E320" s="2">
        <v>1.7299999999999999E-2</v>
      </c>
      <c r="F320" s="2">
        <v>0.15359999999999999</v>
      </c>
      <c r="G320" s="2">
        <v>1.4E-2</v>
      </c>
      <c r="H320" s="2">
        <v>1.7000000000000001E-2</v>
      </c>
      <c r="I320" s="2">
        <v>4.5999999999999999E-3</v>
      </c>
    </row>
    <row r="321" spans="1:9" x14ac:dyDescent="0.25">
      <c r="A321" s="3">
        <v>0.49</v>
      </c>
      <c r="B321" s="2">
        <v>0.66749999999999998</v>
      </c>
      <c r="C321" s="2">
        <v>1.9599999999999999E-2</v>
      </c>
      <c r="D321" s="2">
        <v>0.16120000000000001</v>
      </c>
      <c r="E321" s="2">
        <v>1.7100000000000001E-2</v>
      </c>
      <c r="F321" s="2">
        <v>0.1545</v>
      </c>
      <c r="G321" s="2">
        <v>1.4E-2</v>
      </c>
      <c r="H321" s="2">
        <v>1.6799999999999999E-2</v>
      </c>
      <c r="I321" s="2">
        <v>4.4999999999999997E-3</v>
      </c>
    </row>
    <row r="322" spans="1:9" x14ac:dyDescent="0.25">
      <c r="A322" s="3">
        <v>0.49320000000000003</v>
      </c>
      <c r="B322" s="2">
        <v>0.66679999999999995</v>
      </c>
      <c r="C322" s="2">
        <v>1.95E-2</v>
      </c>
      <c r="D322" s="2">
        <v>0.1615</v>
      </c>
      <c r="E322" s="2">
        <v>1.7000000000000001E-2</v>
      </c>
      <c r="F322" s="2">
        <v>0.15490000000000001</v>
      </c>
      <c r="G322" s="2">
        <v>1.4E-2</v>
      </c>
      <c r="H322" s="2">
        <v>1.67E-2</v>
      </c>
      <c r="I322" s="2">
        <v>4.4999999999999997E-3</v>
      </c>
    </row>
    <row r="323" spans="1:9" x14ac:dyDescent="0.25">
      <c r="A323" s="3">
        <v>0.49340000000000001</v>
      </c>
      <c r="B323" s="2">
        <v>0.66679999999999995</v>
      </c>
      <c r="C323" s="2">
        <v>1.95E-2</v>
      </c>
      <c r="D323" s="2">
        <v>0.16159999999999999</v>
      </c>
      <c r="E323" s="2">
        <v>1.7000000000000001E-2</v>
      </c>
      <c r="F323" s="2">
        <v>0.155</v>
      </c>
      <c r="G323" s="2">
        <v>1.4E-2</v>
      </c>
      <c r="H323" s="2">
        <v>1.67E-2</v>
      </c>
      <c r="I323" s="2">
        <v>4.4999999999999997E-3</v>
      </c>
    </row>
    <row r="324" spans="1:9" x14ac:dyDescent="0.25">
      <c r="A324" s="3">
        <v>0.49659999999999999</v>
      </c>
      <c r="B324" s="2">
        <v>0.66600000000000004</v>
      </c>
      <c r="C324" s="2">
        <v>1.9400000000000001E-2</v>
      </c>
      <c r="D324" s="2">
        <v>0.16189999999999999</v>
      </c>
      <c r="E324" s="2">
        <v>1.6899999999999998E-2</v>
      </c>
      <c r="F324" s="2">
        <v>0.15540000000000001</v>
      </c>
      <c r="G324" s="2">
        <v>1.4E-2</v>
      </c>
      <c r="H324" s="2">
        <v>1.66E-2</v>
      </c>
      <c r="I324" s="2">
        <v>4.4000000000000003E-3</v>
      </c>
    </row>
    <row r="325" spans="1:9" x14ac:dyDescent="0.25">
      <c r="A325" s="3">
        <v>0.49680000000000002</v>
      </c>
      <c r="B325" s="2">
        <v>0.66600000000000004</v>
      </c>
      <c r="C325" s="2">
        <v>1.9400000000000001E-2</v>
      </c>
      <c r="D325" s="2">
        <v>0.16200000000000001</v>
      </c>
      <c r="E325" s="2">
        <v>1.6899999999999998E-2</v>
      </c>
      <c r="F325" s="2">
        <v>0.15540000000000001</v>
      </c>
      <c r="G325" s="2">
        <v>1.4E-2</v>
      </c>
      <c r="H325" s="2">
        <v>1.66E-2</v>
      </c>
      <c r="I325" s="2">
        <v>4.4000000000000003E-3</v>
      </c>
    </row>
    <row r="326" spans="1:9" x14ac:dyDescent="0.25">
      <c r="A326" s="3">
        <v>0.5</v>
      </c>
      <c r="B326" s="2">
        <v>0.6653</v>
      </c>
      <c r="C326" s="2">
        <v>1.9400000000000001E-2</v>
      </c>
      <c r="D326" s="2">
        <v>0.1623</v>
      </c>
      <c r="E326" s="2">
        <v>1.6799999999999999E-2</v>
      </c>
      <c r="F326" s="2">
        <v>0.15579999999999999</v>
      </c>
      <c r="G326" s="2">
        <v>1.4E-2</v>
      </c>
      <c r="H326" s="2">
        <v>1.6500000000000001E-2</v>
      </c>
      <c r="I326" s="2">
        <v>4.4000000000000003E-3</v>
      </c>
    </row>
    <row r="327" spans="1:9" x14ac:dyDescent="0.25">
      <c r="A327" s="3">
        <v>0.50660000000000005</v>
      </c>
      <c r="B327" s="2">
        <v>0.66379999999999995</v>
      </c>
      <c r="C327" s="2">
        <v>1.9300000000000001E-2</v>
      </c>
      <c r="D327" s="2">
        <v>0.16309999999999999</v>
      </c>
      <c r="E327" s="2">
        <v>1.66E-2</v>
      </c>
      <c r="F327" s="2">
        <v>0.15670000000000001</v>
      </c>
      <c r="G327" s="2">
        <v>1.3899999999999999E-2</v>
      </c>
      <c r="H327" s="2">
        <v>1.6400000000000001E-2</v>
      </c>
      <c r="I327" s="2">
        <v>4.3E-3</v>
      </c>
    </row>
    <row r="328" spans="1:9" x14ac:dyDescent="0.25">
      <c r="A328" s="3">
        <v>0.50680000000000003</v>
      </c>
      <c r="B328" s="2">
        <v>0.66369999999999996</v>
      </c>
      <c r="C328" s="2">
        <v>1.9199999999999998E-2</v>
      </c>
      <c r="D328" s="2">
        <v>0.16309999999999999</v>
      </c>
      <c r="E328" s="2">
        <v>1.66E-2</v>
      </c>
      <c r="F328" s="2">
        <v>0.15679999999999999</v>
      </c>
      <c r="G328" s="2">
        <v>1.3899999999999999E-2</v>
      </c>
      <c r="H328" s="2">
        <v>1.6400000000000001E-2</v>
      </c>
      <c r="I328" s="2">
        <v>4.3E-3</v>
      </c>
    </row>
    <row r="329" spans="1:9" x14ac:dyDescent="0.25">
      <c r="A329" s="3">
        <v>0.51</v>
      </c>
      <c r="B329" s="2">
        <v>0.66300000000000003</v>
      </c>
      <c r="C329" s="2">
        <v>1.9199999999999998E-2</v>
      </c>
      <c r="D329" s="2">
        <v>0.16350000000000001</v>
      </c>
      <c r="E329" s="2">
        <v>1.6500000000000001E-2</v>
      </c>
      <c r="F329" s="2">
        <v>0.15720000000000001</v>
      </c>
      <c r="G329" s="2">
        <v>1.3899999999999999E-2</v>
      </c>
      <c r="H329" s="2">
        <v>1.6299999999999999E-2</v>
      </c>
      <c r="I329" s="2">
        <v>4.3E-3</v>
      </c>
    </row>
    <row r="330" spans="1:9" x14ac:dyDescent="0.25">
      <c r="A330" s="3">
        <v>0.51659999999999995</v>
      </c>
      <c r="B330" s="2">
        <v>0.66149999999999998</v>
      </c>
      <c r="C330" s="2">
        <v>1.9099999999999999E-2</v>
      </c>
      <c r="D330" s="2">
        <v>0.1643</v>
      </c>
      <c r="E330" s="2">
        <v>1.6400000000000001E-2</v>
      </c>
      <c r="F330" s="2">
        <v>0.15809999999999999</v>
      </c>
      <c r="G330" s="2">
        <v>1.4E-2</v>
      </c>
      <c r="H330" s="2">
        <v>1.61E-2</v>
      </c>
      <c r="I330" s="2">
        <v>4.3E-3</v>
      </c>
    </row>
    <row r="331" spans="1:9" x14ac:dyDescent="0.25">
      <c r="A331" s="3">
        <v>0.51680000000000004</v>
      </c>
      <c r="B331" s="2">
        <v>0.66149999999999998</v>
      </c>
      <c r="C331" s="2">
        <v>1.9099999999999999E-2</v>
      </c>
      <c r="D331" s="2">
        <v>0.1643</v>
      </c>
      <c r="E331" s="2">
        <v>1.6400000000000001E-2</v>
      </c>
      <c r="F331" s="2">
        <v>0.15809999999999999</v>
      </c>
      <c r="G331" s="2">
        <v>1.4E-2</v>
      </c>
      <c r="H331" s="2">
        <v>1.61E-2</v>
      </c>
      <c r="I331" s="2">
        <v>4.3E-3</v>
      </c>
    </row>
    <row r="332" spans="1:9" x14ac:dyDescent="0.25">
      <c r="A332" s="3">
        <v>0.52</v>
      </c>
      <c r="B332" s="2">
        <v>0.66080000000000005</v>
      </c>
      <c r="C332" s="2">
        <v>1.9099999999999999E-2</v>
      </c>
      <c r="D332" s="2">
        <v>0.16470000000000001</v>
      </c>
      <c r="E332" s="2">
        <v>1.6400000000000001E-2</v>
      </c>
      <c r="F332" s="2">
        <v>0.1585</v>
      </c>
      <c r="G332" s="2">
        <v>1.4E-2</v>
      </c>
      <c r="H332" s="2">
        <v>1.6E-2</v>
      </c>
      <c r="I332" s="2">
        <v>4.3E-3</v>
      </c>
    </row>
    <row r="333" spans="1:9" x14ac:dyDescent="0.25">
      <c r="A333" s="3">
        <v>0.5202</v>
      </c>
      <c r="B333" s="2">
        <v>0.66069999999999995</v>
      </c>
      <c r="C333" s="2">
        <v>1.9099999999999999E-2</v>
      </c>
      <c r="D333" s="2">
        <v>0.16470000000000001</v>
      </c>
      <c r="E333" s="2">
        <v>1.6400000000000001E-2</v>
      </c>
      <c r="F333" s="2">
        <v>0.15859999999999999</v>
      </c>
      <c r="G333" s="2">
        <v>1.4E-2</v>
      </c>
      <c r="H333" s="2">
        <v>1.6E-2</v>
      </c>
      <c r="I333" s="2">
        <v>4.3E-3</v>
      </c>
    </row>
    <row r="334" spans="1:9" x14ac:dyDescent="0.25">
      <c r="A334" s="3">
        <v>0.52339999999999998</v>
      </c>
      <c r="B334" s="2">
        <v>0.66</v>
      </c>
      <c r="C334" s="2">
        <v>1.9099999999999999E-2</v>
      </c>
      <c r="D334" s="2">
        <v>0.1651</v>
      </c>
      <c r="E334" s="2">
        <v>1.6299999999999999E-2</v>
      </c>
      <c r="F334" s="2">
        <v>0.159</v>
      </c>
      <c r="G334" s="2">
        <v>1.4E-2</v>
      </c>
      <c r="H334" s="2">
        <v>1.5900000000000001E-2</v>
      </c>
      <c r="I334" s="2">
        <v>4.3E-3</v>
      </c>
    </row>
    <row r="335" spans="1:9" x14ac:dyDescent="0.25">
      <c r="A335" s="3">
        <v>0.52659999999999996</v>
      </c>
      <c r="B335" s="2">
        <v>0.6593</v>
      </c>
      <c r="C335" s="2">
        <v>1.9099999999999999E-2</v>
      </c>
      <c r="D335" s="2">
        <v>0.16550000000000001</v>
      </c>
      <c r="E335" s="2">
        <v>1.6299999999999999E-2</v>
      </c>
      <c r="F335" s="2">
        <v>0.15939999999999999</v>
      </c>
      <c r="G335" s="2">
        <v>1.4E-2</v>
      </c>
      <c r="H335" s="2">
        <v>1.5900000000000001E-2</v>
      </c>
      <c r="I335" s="2">
        <v>4.1999999999999997E-3</v>
      </c>
    </row>
    <row r="336" spans="1:9" x14ac:dyDescent="0.25">
      <c r="A336" s="3">
        <v>0.52680000000000005</v>
      </c>
      <c r="B336" s="2">
        <v>0.65920000000000001</v>
      </c>
      <c r="C336" s="2">
        <v>1.9099999999999999E-2</v>
      </c>
      <c r="D336" s="2">
        <v>0.16550000000000001</v>
      </c>
      <c r="E336" s="2">
        <v>1.6299999999999999E-2</v>
      </c>
      <c r="F336" s="2">
        <v>0.15939999999999999</v>
      </c>
      <c r="G336" s="2">
        <v>1.4E-2</v>
      </c>
      <c r="H336" s="2">
        <v>1.5900000000000001E-2</v>
      </c>
      <c r="I336" s="2">
        <v>4.1999999999999997E-3</v>
      </c>
    </row>
    <row r="337" spans="1:9" x14ac:dyDescent="0.25">
      <c r="A337" s="3">
        <v>0.53</v>
      </c>
      <c r="B337" s="2">
        <v>0.65849999999999997</v>
      </c>
      <c r="C337" s="2">
        <v>1.9099999999999999E-2</v>
      </c>
      <c r="D337" s="2">
        <v>0.16589999999999999</v>
      </c>
      <c r="E337" s="2">
        <v>1.6299999999999999E-2</v>
      </c>
      <c r="F337" s="2">
        <v>0.15989999999999999</v>
      </c>
      <c r="G337" s="2">
        <v>1.4E-2</v>
      </c>
      <c r="H337" s="2">
        <v>1.5800000000000002E-2</v>
      </c>
      <c r="I337" s="2">
        <v>4.1999999999999997E-3</v>
      </c>
    </row>
    <row r="338" spans="1:9" x14ac:dyDescent="0.25">
      <c r="A338" s="3">
        <v>0.53320000000000001</v>
      </c>
      <c r="B338" s="2">
        <v>0.65769999999999995</v>
      </c>
      <c r="C338" s="2">
        <v>1.9099999999999999E-2</v>
      </c>
      <c r="D338" s="2">
        <v>0.16619999999999999</v>
      </c>
      <c r="E338" s="2">
        <v>1.6299999999999999E-2</v>
      </c>
      <c r="F338" s="2">
        <v>0.1603</v>
      </c>
      <c r="G338" s="2">
        <v>1.4E-2</v>
      </c>
      <c r="H338" s="2">
        <v>1.5699999999999999E-2</v>
      </c>
      <c r="I338" s="2">
        <v>4.1999999999999997E-3</v>
      </c>
    </row>
    <row r="339" spans="1:9" x14ac:dyDescent="0.25">
      <c r="A339" s="3">
        <v>0.53339999999999999</v>
      </c>
      <c r="B339" s="2">
        <v>0.65769999999999995</v>
      </c>
      <c r="C339" s="2">
        <v>1.9099999999999999E-2</v>
      </c>
      <c r="D339" s="2">
        <v>0.1663</v>
      </c>
      <c r="E339" s="2">
        <v>1.6299999999999999E-2</v>
      </c>
      <c r="F339" s="2">
        <v>0.1603</v>
      </c>
      <c r="G339" s="2">
        <v>1.4E-2</v>
      </c>
      <c r="H339" s="2">
        <v>1.5699999999999999E-2</v>
      </c>
      <c r="I339" s="2">
        <v>4.1999999999999997E-3</v>
      </c>
    </row>
    <row r="340" spans="1:9" x14ac:dyDescent="0.25">
      <c r="A340" s="3">
        <v>0.53659999999999997</v>
      </c>
      <c r="B340" s="2">
        <v>0.65700000000000003</v>
      </c>
      <c r="C340" s="2">
        <v>1.9099999999999999E-2</v>
      </c>
      <c r="D340" s="2">
        <v>0.1666</v>
      </c>
      <c r="E340" s="2">
        <v>1.6299999999999999E-2</v>
      </c>
      <c r="F340" s="2">
        <v>0.1608</v>
      </c>
      <c r="G340" s="2">
        <v>1.41E-2</v>
      </c>
      <c r="H340" s="2">
        <v>1.5599999999999999E-2</v>
      </c>
      <c r="I340" s="2">
        <v>4.1999999999999997E-3</v>
      </c>
    </row>
    <row r="341" spans="1:9" x14ac:dyDescent="0.25">
      <c r="A341" s="3">
        <v>0.54</v>
      </c>
      <c r="B341" s="2">
        <v>0.65620000000000001</v>
      </c>
      <c r="C341" s="2">
        <v>1.9099999999999999E-2</v>
      </c>
      <c r="D341" s="2">
        <v>0.1671</v>
      </c>
      <c r="E341" s="2">
        <v>1.6299999999999999E-2</v>
      </c>
      <c r="F341" s="2">
        <v>0.16120000000000001</v>
      </c>
      <c r="G341" s="2">
        <v>1.41E-2</v>
      </c>
      <c r="H341" s="2">
        <v>1.55E-2</v>
      </c>
      <c r="I341" s="2">
        <v>4.1999999999999997E-3</v>
      </c>
    </row>
    <row r="342" spans="1:9" x14ac:dyDescent="0.25">
      <c r="A342" s="3">
        <v>0.54320000000000002</v>
      </c>
      <c r="B342" s="2">
        <v>0.65539999999999998</v>
      </c>
      <c r="C342" s="2">
        <v>1.9099999999999999E-2</v>
      </c>
      <c r="D342" s="2">
        <v>0.16739999999999999</v>
      </c>
      <c r="E342" s="2">
        <v>1.6299999999999999E-2</v>
      </c>
      <c r="F342" s="2">
        <v>0.16170000000000001</v>
      </c>
      <c r="G342" s="2">
        <v>1.41E-2</v>
      </c>
      <c r="H342" s="2">
        <v>1.55E-2</v>
      </c>
      <c r="I342" s="2">
        <v>4.1999999999999997E-3</v>
      </c>
    </row>
    <row r="343" spans="1:9" x14ac:dyDescent="0.25">
      <c r="A343" s="3">
        <v>0.54339999999999999</v>
      </c>
      <c r="B343" s="2">
        <v>0.65539999999999998</v>
      </c>
      <c r="C343" s="2">
        <v>1.9099999999999999E-2</v>
      </c>
      <c r="D343" s="2">
        <v>0.16750000000000001</v>
      </c>
      <c r="E343" s="2">
        <v>1.6299999999999999E-2</v>
      </c>
      <c r="F343" s="2">
        <v>0.16170000000000001</v>
      </c>
      <c r="G343" s="2">
        <v>1.41E-2</v>
      </c>
      <c r="H343" s="2">
        <v>1.54E-2</v>
      </c>
      <c r="I343" s="2">
        <v>4.1999999999999997E-3</v>
      </c>
    </row>
    <row r="344" spans="1:9" x14ac:dyDescent="0.25">
      <c r="A344" s="3">
        <v>0.54659999999999997</v>
      </c>
      <c r="B344" s="2">
        <v>0.65469999999999995</v>
      </c>
      <c r="C344" s="2">
        <v>1.9099999999999999E-2</v>
      </c>
      <c r="D344" s="2">
        <v>0.1678</v>
      </c>
      <c r="E344" s="2">
        <v>1.6299999999999999E-2</v>
      </c>
      <c r="F344" s="2">
        <v>0.16209999999999999</v>
      </c>
      <c r="G344" s="2">
        <v>1.4200000000000001E-2</v>
      </c>
      <c r="H344" s="2">
        <v>1.54E-2</v>
      </c>
      <c r="I344" s="2">
        <v>4.1999999999999997E-3</v>
      </c>
    </row>
    <row r="345" spans="1:9" x14ac:dyDescent="0.25">
      <c r="A345" s="3">
        <v>0.54679999999999995</v>
      </c>
      <c r="B345" s="2">
        <v>0.65459999999999996</v>
      </c>
      <c r="C345" s="2">
        <v>1.9199999999999998E-2</v>
      </c>
      <c r="D345" s="2">
        <v>0.16789999999999999</v>
      </c>
      <c r="E345" s="2">
        <v>1.6299999999999999E-2</v>
      </c>
      <c r="F345" s="2">
        <v>0.16220000000000001</v>
      </c>
      <c r="G345" s="2">
        <v>1.4200000000000001E-2</v>
      </c>
      <c r="H345" s="2">
        <v>1.54E-2</v>
      </c>
      <c r="I345" s="2">
        <v>4.1999999999999997E-3</v>
      </c>
    </row>
    <row r="346" spans="1:9" x14ac:dyDescent="0.25">
      <c r="A346" s="3">
        <v>0.55000000000000004</v>
      </c>
      <c r="B346" s="2">
        <v>0.65390000000000004</v>
      </c>
      <c r="C346" s="2">
        <v>1.9199999999999998E-2</v>
      </c>
      <c r="D346" s="2">
        <v>0.16819999999999999</v>
      </c>
      <c r="E346" s="2">
        <v>1.6400000000000001E-2</v>
      </c>
      <c r="F346" s="2">
        <v>0.16259999999999999</v>
      </c>
      <c r="G346" s="2">
        <v>1.4200000000000001E-2</v>
      </c>
      <c r="H346" s="2">
        <v>1.5299999999999999E-2</v>
      </c>
      <c r="I346" s="2">
        <v>4.3E-3</v>
      </c>
    </row>
    <row r="347" spans="1:9" x14ac:dyDescent="0.25">
      <c r="A347" s="3">
        <v>0.55320000000000003</v>
      </c>
      <c r="B347" s="2">
        <v>0.65310000000000001</v>
      </c>
      <c r="C347" s="2">
        <v>1.9199999999999998E-2</v>
      </c>
      <c r="D347" s="2">
        <v>0.1686</v>
      </c>
      <c r="E347" s="2">
        <v>1.6400000000000001E-2</v>
      </c>
      <c r="F347" s="2">
        <v>0.16300000000000001</v>
      </c>
      <c r="G347" s="2">
        <v>1.4200000000000001E-2</v>
      </c>
      <c r="H347" s="2">
        <v>1.52E-2</v>
      </c>
      <c r="I347" s="2">
        <v>4.3E-3</v>
      </c>
    </row>
    <row r="348" spans="1:9" x14ac:dyDescent="0.25">
      <c r="A348" s="3">
        <v>0.56000000000000005</v>
      </c>
      <c r="B348" s="2">
        <v>0.65159999999999996</v>
      </c>
      <c r="C348" s="2">
        <v>1.9400000000000001E-2</v>
      </c>
      <c r="D348" s="2">
        <v>0.1694</v>
      </c>
      <c r="E348" s="2">
        <v>1.6500000000000001E-2</v>
      </c>
      <c r="F348" s="2">
        <v>0.16400000000000001</v>
      </c>
      <c r="G348" s="2">
        <v>1.44E-2</v>
      </c>
      <c r="H348" s="2">
        <v>1.4999999999999999E-2</v>
      </c>
      <c r="I348" s="2">
        <v>4.3E-3</v>
      </c>
    </row>
    <row r="349" spans="1:9" x14ac:dyDescent="0.25">
      <c r="A349" s="3">
        <v>0.56020000000000003</v>
      </c>
      <c r="B349" s="2">
        <v>0.65149999999999997</v>
      </c>
      <c r="C349" s="2">
        <v>1.9400000000000001E-2</v>
      </c>
      <c r="D349" s="2">
        <v>0.16950000000000001</v>
      </c>
      <c r="E349" s="2">
        <v>1.6500000000000001E-2</v>
      </c>
      <c r="F349" s="2">
        <v>0.16400000000000001</v>
      </c>
      <c r="G349" s="2">
        <v>1.44E-2</v>
      </c>
      <c r="H349" s="2">
        <v>1.4999999999999999E-2</v>
      </c>
      <c r="I349" s="2">
        <v>4.3E-3</v>
      </c>
    </row>
    <row r="350" spans="1:9" x14ac:dyDescent="0.25">
      <c r="A350" s="3">
        <v>0.56340000000000001</v>
      </c>
      <c r="B350" s="2">
        <v>0.65080000000000005</v>
      </c>
      <c r="C350" s="2">
        <v>1.9400000000000001E-2</v>
      </c>
      <c r="D350" s="2">
        <v>0.16980000000000001</v>
      </c>
      <c r="E350" s="2">
        <v>1.66E-2</v>
      </c>
      <c r="F350" s="2">
        <v>0.16439999999999999</v>
      </c>
      <c r="G350" s="2">
        <v>1.44E-2</v>
      </c>
      <c r="H350" s="2">
        <v>1.4999999999999999E-2</v>
      </c>
      <c r="I350" s="2">
        <v>4.3E-3</v>
      </c>
    </row>
    <row r="351" spans="1:9" x14ac:dyDescent="0.25">
      <c r="A351" s="3">
        <v>0.56659999999999999</v>
      </c>
      <c r="B351" s="2">
        <v>0.65</v>
      </c>
      <c r="C351" s="2">
        <v>1.95E-2</v>
      </c>
      <c r="D351" s="2">
        <v>0.17019999999999999</v>
      </c>
      <c r="E351" s="2">
        <v>1.66E-2</v>
      </c>
      <c r="F351" s="2">
        <v>0.16489999999999999</v>
      </c>
      <c r="G351" s="2">
        <v>1.4500000000000001E-2</v>
      </c>
      <c r="H351" s="2">
        <v>1.49E-2</v>
      </c>
      <c r="I351" s="2">
        <v>4.3E-3</v>
      </c>
    </row>
    <row r="352" spans="1:9" x14ac:dyDescent="0.25">
      <c r="A352" s="3">
        <v>0.56679999999999997</v>
      </c>
      <c r="B352" s="2">
        <v>0.65</v>
      </c>
      <c r="C352" s="2">
        <v>1.95E-2</v>
      </c>
      <c r="D352" s="2">
        <v>0.17019999999999999</v>
      </c>
      <c r="E352" s="2">
        <v>1.66E-2</v>
      </c>
      <c r="F352" s="2">
        <v>0.16489999999999999</v>
      </c>
      <c r="G352" s="2">
        <v>1.4500000000000001E-2</v>
      </c>
      <c r="H352" s="2">
        <v>1.49E-2</v>
      </c>
      <c r="I352" s="2">
        <v>4.3E-3</v>
      </c>
    </row>
    <row r="353" spans="1:9" x14ac:dyDescent="0.25">
      <c r="A353" s="3">
        <v>0.56999999999999995</v>
      </c>
      <c r="B353" s="2">
        <v>0.6492</v>
      </c>
      <c r="C353" s="2">
        <v>1.9599999999999999E-2</v>
      </c>
      <c r="D353" s="2">
        <v>0.1706</v>
      </c>
      <c r="E353" s="2">
        <v>1.67E-2</v>
      </c>
      <c r="F353" s="2">
        <v>0.1653</v>
      </c>
      <c r="G353" s="2">
        <v>1.4500000000000001E-2</v>
      </c>
      <c r="H353" s="2">
        <v>1.4800000000000001E-2</v>
      </c>
      <c r="I353" s="2">
        <v>4.3E-3</v>
      </c>
    </row>
    <row r="354" spans="1:9" x14ac:dyDescent="0.25">
      <c r="A354" s="3">
        <v>0.57320000000000004</v>
      </c>
      <c r="B354" s="2">
        <v>0.64849999999999997</v>
      </c>
      <c r="C354" s="2">
        <v>1.9699999999999999E-2</v>
      </c>
      <c r="D354" s="2">
        <v>0.17100000000000001</v>
      </c>
      <c r="E354" s="2">
        <v>1.6799999999999999E-2</v>
      </c>
      <c r="F354" s="2">
        <v>0.1658</v>
      </c>
      <c r="G354" s="2">
        <v>1.46E-2</v>
      </c>
      <c r="H354" s="2">
        <v>1.47E-2</v>
      </c>
      <c r="I354" s="2">
        <v>4.4000000000000003E-3</v>
      </c>
    </row>
    <row r="355" spans="1:9" x14ac:dyDescent="0.25">
      <c r="A355" s="3">
        <v>0.57340000000000002</v>
      </c>
      <c r="B355" s="2">
        <v>0.64839999999999998</v>
      </c>
      <c r="C355" s="2">
        <v>1.9699999999999999E-2</v>
      </c>
      <c r="D355" s="2">
        <v>0.17100000000000001</v>
      </c>
      <c r="E355" s="2">
        <v>1.6799999999999999E-2</v>
      </c>
      <c r="F355" s="2">
        <v>0.1658</v>
      </c>
      <c r="G355" s="2">
        <v>1.46E-2</v>
      </c>
      <c r="H355" s="2">
        <v>1.47E-2</v>
      </c>
      <c r="I355" s="2">
        <v>4.4000000000000003E-3</v>
      </c>
    </row>
    <row r="356" spans="1:9" x14ac:dyDescent="0.25">
      <c r="A356" s="3">
        <v>0.5766</v>
      </c>
      <c r="B356" s="2">
        <v>0.64770000000000005</v>
      </c>
      <c r="C356" s="2">
        <v>1.9800000000000002E-2</v>
      </c>
      <c r="D356" s="2">
        <v>0.1714</v>
      </c>
      <c r="E356" s="2">
        <v>1.6899999999999998E-2</v>
      </c>
      <c r="F356" s="2">
        <v>0.1663</v>
      </c>
      <c r="G356" s="2">
        <v>1.47E-2</v>
      </c>
      <c r="H356" s="2">
        <v>1.46E-2</v>
      </c>
      <c r="I356" s="2">
        <v>4.4000000000000003E-3</v>
      </c>
    </row>
    <row r="357" spans="1:9" x14ac:dyDescent="0.25">
      <c r="A357" s="3">
        <v>0.57679999999999998</v>
      </c>
      <c r="B357" s="2">
        <v>0.64759999999999995</v>
      </c>
      <c r="C357" s="2">
        <v>1.9800000000000002E-2</v>
      </c>
      <c r="D357" s="2">
        <v>0.1714</v>
      </c>
      <c r="E357" s="2">
        <v>1.6899999999999998E-2</v>
      </c>
      <c r="F357" s="2">
        <v>0.1663</v>
      </c>
      <c r="G357" s="2">
        <v>1.47E-2</v>
      </c>
      <c r="H357" s="2">
        <v>1.46E-2</v>
      </c>
      <c r="I357" s="2">
        <v>4.4000000000000003E-3</v>
      </c>
    </row>
    <row r="358" spans="1:9" x14ac:dyDescent="0.25">
      <c r="A358" s="3">
        <v>0.57999999999999996</v>
      </c>
      <c r="B358" s="2">
        <v>0.64690000000000003</v>
      </c>
      <c r="C358" s="2">
        <v>1.9900000000000001E-2</v>
      </c>
      <c r="D358" s="2">
        <v>0.17180000000000001</v>
      </c>
      <c r="E358" s="2">
        <v>1.7000000000000001E-2</v>
      </c>
      <c r="F358" s="2">
        <v>0.16669999999999999</v>
      </c>
      <c r="G358" s="2">
        <v>1.47E-2</v>
      </c>
      <c r="H358" s="2">
        <v>1.46E-2</v>
      </c>
      <c r="I358" s="2">
        <v>4.4000000000000003E-3</v>
      </c>
    </row>
    <row r="359" spans="1:9" x14ac:dyDescent="0.25">
      <c r="A359" s="3">
        <v>0.58020000000000005</v>
      </c>
      <c r="B359" s="2">
        <v>0.64680000000000004</v>
      </c>
      <c r="C359" s="2">
        <v>1.9900000000000001E-2</v>
      </c>
      <c r="D359" s="2">
        <v>0.17180000000000001</v>
      </c>
      <c r="E359" s="2">
        <v>1.7000000000000001E-2</v>
      </c>
      <c r="F359" s="2">
        <v>0.1668</v>
      </c>
      <c r="G359" s="2">
        <v>1.47E-2</v>
      </c>
      <c r="H359" s="2">
        <v>1.46E-2</v>
      </c>
      <c r="I359" s="2">
        <v>4.4000000000000003E-3</v>
      </c>
    </row>
    <row r="360" spans="1:9" x14ac:dyDescent="0.25">
      <c r="A360" s="3">
        <v>0.58320000000000005</v>
      </c>
      <c r="B360" s="2">
        <v>0.64610000000000001</v>
      </c>
      <c r="C360" s="2">
        <v>2.01E-2</v>
      </c>
      <c r="D360" s="2">
        <v>0.17219999999999999</v>
      </c>
      <c r="E360" s="2">
        <v>1.72E-2</v>
      </c>
      <c r="F360" s="2">
        <v>0.16719999999999999</v>
      </c>
      <c r="G360" s="2">
        <v>1.4800000000000001E-2</v>
      </c>
      <c r="H360" s="2">
        <v>1.4500000000000001E-2</v>
      </c>
      <c r="I360" s="2">
        <v>4.4000000000000003E-3</v>
      </c>
    </row>
    <row r="361" spans="1:9" x14ac:dyDescent="0.25">
      <c r="A361" s="3">
        <v>0.58340000000000003</v>
      </c>
      <c r="B361" s="2">
        <v>0.64610000000000001</v>
      </c>
      <c r="C361" s="2">
        <v>2.01E-2</v>
      </c>
      <c r="D361" s="2">
        <v>0.17219999999999999</v>
      </c>
      <c r="E361" s="2">
        <v>1.72E-2</v>
      </c>
      <c r="F361" s="2">
        <v>0.16719999999999999</v>
      </c>
      <c r="G361" s="2">
        <v>1.4800000000000001E-2</v>
      </c>
      <c r="H361" s="2">
        <v>1.4500000000000001E-2</v>
      </c>
      <c r="I361" s="2">
        <v>4.4000000000000003E-3</v>
      </c>
    </row>
    <row r="362" spans="1:9" x14ac:dyDescent="0.25">
      <c r="A362" s="3">
        <v>0.58660000000000001</v>
      </c>
      <c r="B362" s="2">
        <v>0.64529999999999998</v>
      </c>
      <c r="C362" s="2">
        <v>2.0199999999999999E-2</v>
      </c>
      <c r="D362" s="2">
        <v>0.1726</v>
      </c>
      <c r="E362" s="2">
        <v>1.7299999999999999E-2</v>
      </c>
      <c r="F362" s="2">
        <v>0.1676</v>
      </c>
      <c r="G362" s="2">
        <v>1.49E-2</v>
      </c>
      <c r="H362" s="2">
        <v>1.44E-2</v>
      </c>
      <c r="I362" s="2">
        <v>4.4000000000000003E-3</v>
      </c>
    </row>
    <row r="363" spans="1:9" x14ac:dyDescent="0.25">
      <c r="A363" s="3">
        <v>0.58679999999999999</v>
      </c>
      <c r="B363" s="2">
        <v>0.64529999999999998</v>
      </c>
      <c r="C363" s="2">
        <v>2.0199999999999999E-2</v>
      </c>
      <c r="D363" s="2">
        <v>0.1726</v>
      </c>
      <c r="E363" s="2">
        <v>1.7299999999999999E-2</v>
      </c>
      <c r="F363" s="2">
        <v>0.16769999999999999</v>
      </c>
      <c r="G363" s="2">
        <v>1.49E-2</v>
      </c>
      <c r="H363" s="2">
        <v>1.44E-2</v>
      </c>
      <c r="I363" s="2">
        <v>4.4000000000000003E-3</v>
      </c>
    </row>
    <row r="364" spans="1:9" x14ac:dyDescent="0.25">
      <c r="A364" s="3">
        <v>0.59319999999999995</v>
      </c>
      <c r="B364" s="2">
        <v>0.64380000000000004</v>
      </c>
      <c r="C364" s="2">
        <v>2.0500000000000001E-2</v>
      </c>
      <c r="D364" s="2">
        <v>0.1734</v>
      </c>
      <c r="E364" s="2">
        <v>1.7600000000000001E-2</v>
      </c>
      <c r="F364" s="2">
        <v>0.1686</v>
      </c>
      <c r="G364" s="2">
        <v>1.5100000000000001E-2</v>
      </c>
      <c r="H364" s="2">
        <v>1.43E-2</v>
      </c>
      <c r="I364" s="2">
        <v>4.4999999999999997E-3</v>
      </c>
    </row>
    <row r="365" spans="1:9" x14ac:dyDescent="0.25">
      <c r="A365" s="3">
        <v>0.59340000000000004</v>
      </c>
      <c r="B365" s="2">
        <v>0.64370000000000005</v>
      </c>
      <c r="C365" s="2">
        <v>2.0500000000000001E-2</v>
      </c>
      <c r="D365" s="2">
        <v>0.1734</v>
      </c>
      <c r="E365" s="2">
        <v>1.7600000000000001E-2</v>
      </c>
      <c r="F365" s="2">
        <v>0.1686</v>
      </c>
      <c r="G365" s="2">
        <v>1.5100000000000001E-2</v>
      </c>
      <c r="H365" s="2">
        <v>1.43E-2</v>
      </c>
      <c r="I365" s="2">
        <v>4.4999999999999997E-3</v>
      </c>
    </row>
    <row r="366" spans="1:9" x14ac:dyDescent="0.25">
      <c r="A366" s="3">
        <v>0.59660000000000002</v>
      </c>
      <c r="B366" s="2">
        <v>0.64300000000000002</v>
      </c>
      <c r="C366" s="2">
        <v>2.06E-2</v>
      </c>
      <c r="D366" s="2">
        <v>0.17380000000000001</v>
      </c>
      <c r="E366" s="2">
        <v>1.77E-2</v>
      </c>
      <c r="F366" s="2">
        <v>0.16900000000000001</v>
      </c>
      <c r="G366" s="2">
        <v>1.52E-2</v>
      </c>
      <c r="H366" s="2">
        <v>1.4200000000000001E-2</v>
      </c>
      <c r="I366" s="2">
        <v>4.4999999999999997E-3</v>
      </c>
    </row>
    <row r="367" spans="1:9" x14ac:dyDescent="0.25">
      <c r="A367" s="3">
        <v>0.5968</v>
      </c>
      <c r="B367" s="2">
        <v>0.64290000000000003</v>
      </c>
      <c r="C367" s="2">
        <v>2.06E-2</v>
      </c>
      <c r="D367" s="2">
        <v>0.17380000000000001</v>
      </c>
      <c r="E367" s="2">
        <v>1.77E-2</v>
      </c>
      <c r="F367" s="2">
        <v>0.1691</v>
      </c>
      <c r="G367" s="2">
        <v>1.52E-2</v>
      </c>
      <c r="H367" s="2">
        <v>1.4200000000000001E-2</v>
      </c>
      <c r="I367" s="2">
        <v>4.4999999999999997E-3</v>
      </c>
    </row>
    <row r="368" spans="1:9" x14ac:dyDescent="0.25">
      <c r="A368" s="3">
        <v>0.5998</v>
      </c>
      <c r="B368" s="2">
        <v>0.64219999999999999</v>
      </c>
      <c r="C368" s="2">
        <v>2.0799999999999999E-2</v>
      </c>
      <c r="D368" s="2">
        <v>0.17419999999999999</v>
      </c>
      <c r="E368" s="2">
        <v>1.7899999999999999E-2</v>
      </c>
      <c r="F368" s="2">
        <v>0.16950000000000001</v>
      </c>
      <c r="G368" s="2">
        <v>1.5299999999999999E-2</v>
      </c>
      <c r="H368" s="2">
        <v>1.41E-2</v>
      </c>
      <c r="I368" s="2">
        <v>4.5999999999999999E-3</v>
      </c>
    </row>
    <row r="369" spans="1:9" x14ac:dyDescent="0.25">
      <c r="A369" s="3">
        <v>0.6</v>
      </c>
      <c r="B369" s="2">
        <v>0.64219999999999999</v>
      </c>
      <c r="C369" s="2">
        <v>2.0799999999999999E-2</v>
      </c>
      <c r="D369" s="2">
        <v>0.17419999999999999</v>
      </c>
      <c r="E369" s="2">
        <v>1.7899999999999999E-2</v>
      </c>
      <c r="F369" s="2">
        <v>0.16950000000000001</v>
      </c>
      <c r="G369" s="2">
        <v>1.5299999999999999E-2</v>
      </c>
      <c r="H369" s="2">
        <v>1.41E-2</v>
      </c>
      <c r="I369" s="2">
        <v>4.5999999999999999E-3</v>
      </c>
    </row>
    <row r="370" spans="1:9" x14ac:dyDescent="0.25">
      <c r="A370" s="3">
        <v>0.60019999999999996</v>
      </c>
      <c r="B370" s="2">
        <v>0.6421</v>
      </c>
      <c r="C370" s="2">
        <v>2.0799999999999999E-2</v>
      </c>
      <c r="D370" s="2">
        <v>0.17419999999999999</v>
      </c>
      <c r="E370" s="2">
        <v>1.7899999999999999E-2</v>
      </c>
      <c r="F370" s="2">
        <v>0.16950000000000001</v>
      </c>
      <c r="G370" s="2">
        <v>1.5299999999999999E-2</v>
      </c>
      <c r="H370" s="2">
        <v>1.41E-2</v>
      </c>
      <c r="I370" s="2">
        <v>4.5999999999999999E-3</v>
      </c>
    </row>
    <row r="371" spans="1:9" x14ac:dyDescent="0.25">
      <c r="A371" s="3">
        <v>0.60319999999999996</v>
      </c>
      <c r="B371" s="2">
        <v>0.64139999999999997</v>
      </c>
      <c r="C371" s="2">
        <v>2.0899999999999998E-2</v>
      </c>
      <c r="D371" s="2">
        <v>0.17460000000000001</v>
      </c>
      <c r="E371" s="2">
        <v>1.8100000000000002E-2</v>
      </c>
      <c r="F371" s="2">
        <v>0.17</v>
      </c>
      <c r="G371" s="2">
        <v>1.54E-2</v>
      </c>
      <c r="H371" s="2">
        <v>1.4E-2</v>
      </c>
      <c r="I371" s="2">
        <v>4.5999999999999999E-3</v>
      </c>
    </row>
    <row r="372" spans="1:9" x14ac:dyDescent="0.25">
      <c r="A372" s="3">
        <v>0.60340000000000005</v>
      </c>
      <c r="B372" s="2">
        <v>0.64139999999999997</v>
      </c>
      <c r="C372" s="2">
        <v>2.1000000000000001E-2</v>
      </c>
      <c r="D372" s="2">
        <v>0.17460000000000001</v>
      </c>
      <c r="E372" s="2">
        <v>1.8100000000000002E-2</v>
      </c>
      <c r="F372" s="2">
        <v>0.17</v>
      </c>
      <c r="G372" s="2">
        <v>1.54E-2</v>
      </c>
      <c r="H372" s="2">
        <v>1.4E-2</v>
      </c>
      <c r="I372" s="2">
        <v>4.5999999999999999E-3</v>
      </c>
    </row>
    <row r="373" spans="1:9" x14ac:dyDescent="0.25">
      <c r="A373" s="3">
        <v>0.60680000000000001</v>
      </c>
      <c r="B373" s="2">
        <v>0.64049999999999996</v>
      </c>
      <c r="C373" s="2">
        <v>2.1100000000000001E-2</v>
      </c>
      <c r="D373" s="2">
        <v>0.17499999999999999</v>
      </c>
      <c r="E373" s="2">
        <v>1.8200000000000001E-2</v>
      </c>
      <c r="F373" s="2">
        <v>0.17050000000000001</v>
      </c>
      <c r="G373" s="2">
        <v>1.55E-2</v>
      </c>
      <c r="H373" s="2">
        <v>1.3899999999999999E-2</v>
      </c>
      <c r="I373" s="2">
        <v>4.5999999999999999E-3</v>
      </c>
    </row>
    <row r="374" spans="1:9" x14ac:dyDescent="0.25">
      <c r="A374" s="3">
        <v>0.61</v>
      </c>
      <c r="B374" s="2">
        <v>0.63980000000000004</v>
      </c>
      <c r="C374" s="2">
        <v>2.1299999999999999E-2</v>
      </c>
      <c r="D374" s="2">
        <v>0.1754</v>
      </c>
      <c r="E374" s="2">
        <v>1.84E-2</v>
      </c>
      <c r="F374" s="2">
        <v>0.1709</v>
      </c>
      <c r="G374" s="2">
        <v>1.5599999999999999E-2</v>
      </c>
      <c r="H374" s="2">
        <v>1.3899999999999999E-2</v>
      </c>
      <c r="I374" s="2">
        <v>4.5999999999999999E-3</v>
      </c>
    </row>
    <row r="375" spans="1:9" x14ac:dyDescent="0.25">
      <c r="A375" s="3">
        <v>0.61019999999999996</v>
      </c>
      <c r="B375" s="2">
        <v>0.63970000000000005</v>
      </c>
      <c r="C375" s="2">
        <v>2.1299999999999999E-2</v>
      </c>
      <c r="D375" s="2">
        <v>0.1754</v>
      </c>
      <c r="E375" s="2">
        <v>1.84E-2</v>
      </c>
      <c r="F375" s="2">
        <v>0.1709</v>
      </c>
      <c r="G375" s="2">
        <v>1.5599999999999999E-2</v>
      </c>
      <c r="H375" s="2">
        <v>1.3899999999999999E-2</v>
      </c>
      <c r="I375" s="2">
        <v>4.5999999999999999E-3</v>
      </c>
    </row>
    <row r="376" spans="1:9" x14ac:dyDescent="0.25">
      <c r="A376" s="3">
        <v>0.61319999999999997</v>
      </c>
      <c r="B376" s="2">
        <v>0.63900000000000001</v>
      </c>
      <c r="C376" s="2">
        <v>2.1499999999999998E-2</v>
      </c>
      <c r="D376" s="2">
        <v>0.17580000000000001</v>
      </c>
      <c r="E376" s="2">
        <v>1.8599999999999998E-2</v>
      </c>
      <c r="F376" s="2">
        <v>0.1714</v>
      </c>
      <c r="G376" s="2">
        <v>1.5699999999999999E-2</v>
      </c>
      <c r="H376" s="2">
        <v>1.38E-2</v>
      </c>
      <c r="I376" s="2">
        <v>4.7000000000000002E-3</v>
      </c>
    </row>
    <row r="377" spans="1:9" x14ac:dyDescent="0.25">
      <c r="A377" s="3">
        <v>0.61339999999999995</v>
      </c>
      <c r="B377" s="2">
        <v>0.63900000000000001</v>
      </c>
      <c r="C377" s="2">
        <v>2.1499999999999998E-2</v>
      </c>
      <c r="D377" s="2">
        <v>0.17580000000000001</v>
      </c>
      <c r="E377" s="2">
        <v>1.8599999999999998E-2</v>
      </c>
      <c r="F377" s="2">
        <v>0.1714</v>
      </c>
      <c r="G377" s="2">
        <v>1.5699999999999999E-2</v>
      </c>
      <c r="H377" s="2">
        <v>1.38E-2</v>
      </c>
      <c r="I377" s="2">
        <v>4.7000000000000002E-3</v>
      </c>
    </row>
    <row r="378" spans="1:9" x14ac:dyDescent="0.25">
      <c r="A378" s="3">
        <v>0.61660000000000004</v>
      </c>
      <c r="B378" s="2">
        <v>0.63819999999999999</v>
      </c>
      <c r="C378" s="2">
        <v>2.1700000000000001E-2</v>
      </c>
      <c r="D378" s="2">
        <v>0.1762</v>
      </c>
      <c r="E378" s="2">
        <v>1.8800000000000001E-2</v>
      </c>
      <c r="F378" s="2">
        <v>0.17180000000000001</v>
      </c>
      <c r="G378" s="2">
        <v>1.5800000000000002E-2</v>
      </c>
      <c r="H378" s="2">
        <v>1.37E-2</v>
      </c>
      <c r="I378" s="2">
        <v>4.7000000000000002E-3</v>
      </c>
    </row>
    <row r="379" spans="1:9" x14ac:dyDescent="0.25">
      <c r="A379" s="3">
        <v>0.61680000000000001</v>
      </c>
      <c r="B379" s="2">
        <v>0.63819999999999999</v>
      </c>
      <c r="C379" s="2">
        <v>2.1700000000000001E-2</v>
      </c>
      <c r="D379" s="2">
        <v>0.1762</v>
      </c>
      <c r="E379" s="2">
        <v>1.8800000000000001E-2</v>
      </c>
      <c r="F379" s="2">
        <v>0.1719</v>
      </c>
      <c r="G379" s="2">
        <v>1.5800000000000002E-2</v>
      </c>
      <c r="H379" s="2">
        <v>1.37E-2</v>
      </c>
      <c r="I379" s="2">
        <v>4.7000000000000002E-3</v>
      </c>
    </row>
    <row r="380" spans="1:9" x14ac:dyDescent="0.25">
      <c r="A380" s="3">
        <v>0.62</v>
      </c>
      <c r="B380" s="2">
        <v>0.63739999999999997</v>
      </c>
      <c r="C380" s="2">
        <v>2.1899999999999999E-2</v>
      </c>
      <c r="D380" s="2">
        <v>0.17660000000000001</v>
      </c>
      <c r="E380" s="2">
        <v>1.9E-2</v>
      </c>
      <c r="F380" s="2">
        <v>0.17230000000000001</v>
      </c>
      <c r="G380" s="2">
        <v>1.5900000000000001E-2</v>
      </c>
      <c r="H380" s="2">
        <v>1.37E-2</v>
      </c>
      <c r="I380" s="2">
        <v>4.7000000000000002E-3</v>
      </c>
    </row>
    <row r="381" spans="1:9" x14ac:dyDescent="0.25">
      <c r="A381" s="3">
        <v>0.62019999999999997</v>
      </c>
      <c r="B381" s="2">
        <v>0.63729999999999998</v>
      </c>
      <c r="C381" s="2">
        <v>2.1899999999999999E-2</v>
      </c>
      <c r="D381" s="2">
        <v>0.1767</v>
      </c>
      <c r="E381" s="2">
        <v>1.9E-2</v>
      </c>
      <c r="F381" s="2">
        <v>0.1724</v>
      </c>
      <c r="G381" s="2">
        <v>1.5900000000000001E-2</v>
      </c>
      <c r="H381" s="2">
        <v>1.3599999999999999E-2</v>
      </c>
      <c r="I381" s="2">
        <v>4.7000000000000002E-3</v>
      </c>
    </row>
    <row r="382" spans="1:9" x14ac:dyDescent="0.25">
      <c r="A382" s="3">
        <v>0.62339999999999995</v>
      </c>
      <c r="B382" s="2">
        <v>0.63660000000000005</v>
      </c>
      <c r="C382" s="2">
        <v>2.2100000000000002E-2</v>
      </c>
      <c r="D382" s="2">
        <v>0.17699999999999999</v>
      </c>
      <c r="E382" s="2">
        <v>1.9300000000000001E-2</v>
      </c>
      <c r="F382" s="2">
        <v>0.17280000000000001</v>
      </c>
      <c r="G382" s="2">
        <v>1.6E-2</v>
      </c>
      <c r="H382" s="2">
        <v>1.3599999999999999E-2</v>
      </c>
      <c r="I382" s="2">
        <v>4.7999999999999996E-3</v>
      </c>
    </row>
    <row r="383" spans="1:9" x14ac:dyDescent="0.25">
      <c r="A383" s="3">
        <v>0.62660000000000005</v>
      </c>
      <c r="B383" s="2">
        <v>0.63580000000000003</v>
      </c>
      <c r="C383" s="2">
        <v>2.23E-2</v>
      </c>
      <c r="D383" s="2">
        <v>0.1774</v>
      </c>
      <c r="E383" s="2">
        <v>1.95E-2</v>
      </c>
      <c r="F383" s="2">
        <v>0.17330000000000001</v>
      </c>
      <c r="G383" s="2">
        <v>1.6199999999999999E-2</v>
      </c>
      <c r="H383" s="2">
        <v>1.35E-2</v>
      </c>
      <c r="I383" s="2">
        <v>4.7999999999999996E-3</v>
      </c>
    </row>
    <row r="384" spans="1:9" x14ac:dyDescent="0.25">
      <c r="A384" s="3">
        <v>0.62680000000000002</v>
      </c>
      <c r="B384" s="2">
        <v>0.63580000000000003</v>
      </c>
      <c r="C384" s="2">
        <v>2.23E-2</v>
      </c>
      <c r="D384" s="2">
        <v>0.1774</v>
      </c>
      <c r="E384" s="2">
        <v>1.95E-2</v>
      </c>
      <c r="F384" s="2">
        <v>0.17330000000000001</v>
      </c>
      <c r="G384" s="2">
        <v>1.6199999999999999E-2</v>
      </c>
      <c r="H384" s="2">
        <v>1.35E-2</v>
      </c>
      <c r="I384" s="2">
        <v>4.7999999999999996E-3</v>
      </c>
    </row>
    <row r="385" spans="1:9" x14ac:dyDescent="0.25">
      <c r="A385" s="3">
        <v>0.63</v>
      </c>
      <c r="B385" s="2">
        <v>0.63500000000000001</v>
      </c>
      <c r="C385" s="2">
        <v>2.2499999999999999E-2</v>
      </c>
      <c r="D385" s="2">
        <v>0.17780000000000001</v>
      </c>
      <c r="E385" s="2">
        <v>1.9699999999999999E-2</v>
      </c>
      <c r="F385" s="2">
        <v>0.17369999999999999</v>
      </c>
      <c r="G385" s="2">
        <v>1.6299999999999999E-2</v>
      </c>
      <c r="H385" s="2">
        <v>1.34E-2</v>
      </c>
      <c r="I385" s="2">
        <v>4.7999999999999996E-3</v>
      </c>
    </row>
    <row r="386" spans="1:9" x14ac:dyDescent="0.25">
      <c r="A386" s="3">
        <v>0.63319999999999999</v>
      </c>
      <c r="B386" s="2">
        <v>0.63419999999999999</v>
      </c>
      <c r="C386" s="2">
        <v>2.2700000000000001E-2</v>
      </c>
      <c r="D386" s="2">
        <v>0.1782</v>
      </c>
      <c r="E386" s="2">
        <v>1.9900000000000001E-2</v>
      </c>
      <c r="F386" s="2">
        <v>0.17419999999999999</v>
      </c>
      <c r="G386" s="2">
        <v>1.6400000000000001E-2</v>
      </c>
      <c r="H386" s="2">
        <v>1.34E-2</v>
      </c>
      <c r="I386" s="2">
        <v>4.8999999999999998E-3</v>
      </c>
    </row>
    <row r="387" spans="1:9" x14ac:dyDescent="0.25">
      <c r="A387" s="3">
        <v>0.63339999999999996</v>
      </c>
      <c r="B387" s="2">
        <v>0.63419999999999999</v>
      </c>
      <c r="C387" s="2">
        <v>2.2700000000000001E-2</v>
      </c>
      <c r="D387" s="2">
        <v>0.1782</v>
      </c>
      <c r="E387" s="2">
        <v>1.9900000000000001E-2</v>
      </c>
      <c r="F387" s="2">
        <v>0.17419999999999999</v>
      </c>
      <c r="G387" s="2">
        <v>1.6400000000000001E-2</v>
      </c>
      <c r="H387" s="2">
        <v>1.34E-2</v>
      </c>
      <c r="I387" s="2">
        <v>4.8999999999999998E-3</v>
      </c>
    </row>
    <row r="388" spans="1:9" x14ac:dyDescent="0.25">
      <c r="A388" s="3">
        <v>0.63680000000000003</v>
      </c>
      <c r="B388" s="2">
        <v>0.63329999999999997</v>
      </c>
      <c r="C388" s="2">
        <v>2.3E-2</v>
      </c>
      <c r="D388" s="2">
        <v>0.1787</v>
      </c>
      <c r="E388" s="2">
        <v>2.0199999999999999E-2</v>
      </c>
      <c r="F388" s="2">
        <v>0.17469999999999999</v>
      </c>
      <c r="G388" s="2">
        <v>1.66E-2</v>
      </c>
      <c r="H388" s="2">
        <v>1.3299999999999999E-2</v>
      </c>
      <c r="I388" s="2">
        <v>4.8999999999999998E-3</v>
      </c>
    </row>
    <row r="389" spans="1:9" x14ac:dyDescent="0.25">
      <c r="A389" s="3">
        <v>0.64</v>
      </c>
      <c r="B389" s="2">
        <v>0.63260000000000005</v>
      </c>
      <c r="C389" s="2">
        <v>2.3199999999999998E-2</v>
      </c>
      <c r="D389" s="2">
        <v>0.17899999999999999</v>
      </c>
      <c r="E389" s="2">
        <v>2.0400000000000001E-2</v>
      </c>
      <c r="F389" s="2">
        <v>0.17519999999999999</v>
      </c>
      <c r="G389" s="2">
        <v>1.67E-2</v>
      </c>
      <c r="H389" s="2">
        <v>1.32E-2</v>
      </c>
      <c r="I389" s="2">
        <v>4.8999999999999998E-3</v>
      </c>
    </row>
    <row r="390" spans="1:9" x14ac:dyDescent="0.25">
      <c r="A390" s="3">
        <v>0.64319999999999999</v>
      </c>
      <c r="B390" s="2">
        <v>0.63180000000000003</v>
      </c>
      <c r="C390" s="2">
        <v>2.3400000000000001E-2</v>
      </c>
      <c r="D390" s="2">
        <v>0.1794</v>
      </c>
      <c r="E390" s="2">
        <v>2.07E-2</v>
      </c>
      <c r="F390" s="2">
        <v>0.17560000000000001</v>
      </c>
      <c r="G390" s="2">
        <v>1.6799999999999999E-2</v>
      </c>
      <c r="H390" s="2">
        <v>1.3100000000000001E-2</v>
      </c>
      <c r="I390" s="2">
        <v>5.0000000000000001E-3</v>
      </c>
    </row>
    <row r="391" spans="1:9" x14ac:dyDescent="0.25">
      <c r="A391" s="3">
        <v>0.64339999999999997</v>
      </c>
      <c r="B391" s="2">
        <v>0.63180000000000003</v>
      </c>
      <c r="C391" s="2">
        <v>2.3400000000000001E-2</v>
      </c>
      <c r="D391" s="2">
        <v>0.17949999999999999</v>
      </c>
      <c r="E391" s="2">
        <v>2.07E-2</v>
      </c>
      <c r="F391" s="2">
        <v>0.17560000000000001</v>
      </c>
      <c r="G391" s="2">
        <v>1.6799999999999999E-2</v>
      </c>
      <c r="H391" s="2">
        <v>1.3100000000000001E-2</v>
      </c>
      <c r="I391" s="2">
        <v>5.0000000000000001E-3</v>
      </c>
    </row>
    <row r="392" spans="1:9" x14ac:dyDescent="0.25">
      <c r="A392" s="3">
        <v>0.64659999999999995</v>
      </c>
      <c r="B392" s="2">
        <v>0.63100000000000001</v>
      </c>
      <c r="C392" s="2">
        <v>2.3699999999999999E-2</v>
      </c>
      <c r="D392" s="2">
        <v>0.17979999999999999</v>
      </c>
      <c r="E392" s="2">
        <v>2.1000000000000001E-2</v>
      </c>
      <c r="F392" s="2">
        <v>0.17610000000000001</v>
      </c>
      <c r="G392" s="2">
        <v>1.7000000000000001E-2</v>
      </c>
      <c r="H392" s="2">
        <v>1.3100000000000001E-2</v>
      </c>
      <c r="I392" s="2">
        <v>5.0000000000000001E-3</v>
      </c>
    </row>
    <row r="393" spans="1:9" x14ac:dyDescent="0.25">
      <c r="A393" s="3">
        <v>0.65</v>
      </c>
      <c r="B393" s="2">
        <v>0.63009999999999999</v>
      </c>
      <c r="C393" s="2">
        <v>2.3900000000000001E-2</v>
      </c>
      <c r="D393" s="2">
        <v>0.18029999999999999</v>
      </c>
      <c r="E393" s="2">
        <v>2.12E-2</v>
      </c>
      <c r="F393" s="2">
        <v>0.17660000000000001</v>
      </c>
      <c r="G393" s="2">
        <v>1.7100000000000001E-2</v>
      </c>
      <c r="H393" s="2">
        <v>1.2999999999999999E-2</v>
      </c>
      <c r="I393" s="2">
        <v>5.1000000000000004E-3</v>
      </c>
    </row>
    <row r="394" spans="1:9" x14ac:dyDescent="0.25">
      <c r="A394" s="3">
        <v>0.6502</v>
      </c>
      <c r="B394" s="2">
        <v>0.63009999999999999</v>
      </c>
      <c r="C394" s="2">
        <v>2.3900000000000001E-2</v>
      </c>
      <c r="D394" s="2">
        <v>0.18029999999999999</v>
      </c>
      <c r="E394" s="2">
        <v>2.12E-2</v>
      </c>
      <c r="F394" s="2">
        <v>0.17660000000000001</v>
      </c>
      <c r="G394" s="2">
        <v>1.7100000000000001E-2</v>
      </c>
      <c r="H394" s="2">
        <v>1.2999999999999999E-2</v>
      </c>
      <c r="I394" s="2">
        <v>5.1000000000000004E-3</v>
      </c>
    </row>
    <row r="395" spans="1:9" x14ac:dyDescent="0.25">
      <c r="A395" s="3">
        <v>0.6532</v>
      </c>
      <c r="B395" s="2">
        <v>0.62939999999999996</v>
      </c>
      <c r="C395" s="2">
        <v>2.4199999999999999E-2</v>
      </c>
      <c r="D395" s="2">
        <v>0.1807</v>
      </c>
      <c r="E395" s="2">
        <v>2.1499999999999998E-2</v>
      </c>
      <c r="F395" s="2">
        <v>0.17699999999999999</v>
      </c>
      <c r="G395" s="2">
        <v>1.7299999999999999E-2</v>
      </c>
      <c r="H395" s="2">
        <v>1.29E-2</v>
      </c>
      <c r="I395" s="2">
        <v>5.1000000000000004E-3</v>
      </c>
    </row>
    <row r="396" spans="1:9" x14ac:dyDescent="0.25">
      <c r="A396" s="3">
        <v>0.65339999999999998</v>
      </c>
      <c r="B396" s="2">
        <v>0.62929999999999997</v>
      </c>
      <c r="C396" s="2">
        <v>2.4199999999999999E-2</v>
      </c>
      <c r="D396" s="2">
        <v>0.1807</v>
      </c>
      <c r="E396" s="2">
        <v>2.1499999999999998E-2</v>
      </c>
      <c r="F396" s="2">
        <v>0.17710000000000001</v>
      </c>
      <c r="G396" s="2">
        <v>1.7299999999999999E-2</v>
      </c>
      <c r="H396" s="2">
        <v>1.29E-2</v>
      </c>
      <c r="I396" s="2">
        <v>5.1000000000000004E-3</v>
      </c>
    </row>
    <row r="397" spans="1:9" x14ac:dyDescent="0.25">
      <c r="A397" s="3">
        <v>0.66</v>
      </c>
      <c r="B397" s="2">
        <v>0.62770000000000004</v>
      </c>
      <c r="C397" s="2">
        <v>2.47E-2</v>
      </c>
      <c r="D397" s="2">
        <v>0.18149999999999999</v>
      </c>
      <c r="E397" s="2">
        <v>2.2100000000000002E-2</v>
      </c>
      <c r="F397" s="2">
        <v>0.17799999999999999</v>
      </c>
      <c r="G397" s="2">
        <v>1.7600000000000001E-2</v>
      </c>
      <c r="H397" s="2">
        <v>1.2800000000000001E-2</v>
      </c>
      <c r="I397" s="2">
        <v>5.1999999999999998E-3</v>
      </c>
    </row>
    <row r="398" spans="1:9" x14ac:dyDescent="0.25">
      <c r="A398" s="3">
        <v>0.66020000000000001</v>
      </c>
      <c r="B398" s="2">
        <v>0.62770000000000004</v>
      </c>
      <c r="C398" s="2">
        <v>2.47E-2</v>
      </c>
      <c r="D398" s="2">
        <v>0.18149999999999999</v>
      </c>
      <c r="E398" s="2">
        <v>2.2100000000000002E-2</v>
      </c>
      <c r="F398" s="2">
        <v>0.17799999999999999</v>
      </c>
      <c r="G398" s="2">
        <v>1.7600000000000001E-2</v>
      </c>
      <c r="H398" s="2">
        <v>1.2800000000000001E-2</v>
      </c>
      <c r="I398" s="2">
        <v>5.1999999999999998E-3</v>
      </c>
    </row>
    <row r="399" spans="1:9" x14ac:dyDescent="0.25">
      <c r="A399" s="3">
        <v>0.66339999999999999</v>
      </c>
      <c r="B399" s="2">
        <v>0.62690000000000001</v>
      </c>
      <c r="C399" s="2">
        <v>2.5000000000000001E-2</v>
      </c>
      <c r="D399" s="2">
        <v>0.18190000000000001</v>
      </c>
      <c r="E399" s="2">
        <v>2.24E-2</v>
      </c>
      <c r="F399" s="2">
        <v>0.17849999999999999</v>
      </c>
      <c r="G399" s="2">
        <v>1.78E-2</v>
      </c>
      <c r="H399" s="2">
        <v>1.2699999999999999E-2</v>
      </c>
      <c r="I399" s="2">
        <v>5.1999999999999998E-3</v>
      </c>
    </row>
    <row r="400" spans="1:9" x14ac:dyDescent="0.25">
      <c r="A400" s="3">
        <v>0.66659999999999997</v>
      </c>
      <c r="B400" s="2">
        <v>0.62609999999999999</v>
      </c>
      <c r="C400" s="2">
        <v>2.52E-2</v>
      </c>
      <c r="D400" s="2">
        <v>0.18229999999999999</v>
      </c>
      <c r="E400" s="2">
        <v>2.2700000000000001E-2</v>
      </c>
      <c r="F400" s="2">
        <v>0.17899999999999999</v>
      </c>
      <c r="G400" s="2">
        <v>1.7899999999999999E-2</v>
      </c>
      <c r="H400" s="2">
        <v>1.2699999999999999E-2</v>
      </c>
      <c r="I400" s="2">
        <v>5.1999999999999998E-3</v>
      </c>
    </row>
    <row r="401" spans="1:9" x14ac:dyDescent="0.25">
      <c r="A401" s="3">
        <v>0.66679999999999995</v>
      </c>
      <c r="B401" s="2">
        <v>0.626</v>
      </c>
      <c r="C401" s="2">
        <v>2.52E-2</v>
      </c>
      <c r="D401" s="2">
        <v>0.18229999999999999</v>
      </c>
      <c r="E401" s="2">
        <v>2.2700000000000001E-2</v>
      </c>
      <c r="F401" s="2">
        <v>0.17899999999999999</v>
      </c>
      <c r="G401" s="2">
        <v>1.7899999999999999E-2</v>
      </c>
      <c r="H401" s="2">
        <v>1.2699999999999999E-2</v>
      </c>
      <c r="I401" s="2">
        <v>5.1999999999999998E-3</v>
      </c>
    </row>
    <row r="402" spans="1:9" x14ac:dyDescent="0.25">
      <c r="A402" s="3">
        <v>0.67</v>
      </c>
      <c r="B402" s="2">
        <v>0.62529999999999997</v>
      </c>
      <c r="C402" s="2">
        <v>2.5499999999999998E-2</v>
      </c>
      <c r="D402" s="2">
        <v>0.1827</v>
      </c>
      <c r="E402" s="2">
        <v>2.3E-2</v>
      </c>
      <c r="F402" s="2">
        <v>0.17949999999999999</v>
      </c>
      <c r="G402" s="2">
        <v>1.8100000000000002E-2</v>
      </c>
      <c r="H402" s="2">
        <v>1.26E-2</v>
      </c>
      <c r="I402" s="2">
        <v>5.3E-3</v>
      </c>
    </row>
    <row r="403" spans="1:9" x14ac:dyDescent="0.25">
      <c r="A403" s="3">
        <v>0.67659999999999998</v>
      </c>
      <c r="B403" s="2">
        <v>0.62360000000000004</v>
      </c>
      <c r="C403" s="2">
        <v>2.6100000000000002E-2</v>
      </c>
      <c r="D403" s="2">
        <v>0.1835</v>
      </c>
      <c r="E403" s="2">
        <v>2.3599999999999999E-2</v>
      </c>
      <c r="F403" s="2">
        <v>0.1804</v>
      </c>
      <c r="G403" s="2">
        <v>1.84E-2</v>
      </c>
      <c r="H403" s="2">
        <v>1.24E-2</v>
      </c>
      <c r="I403" s="2">
        <v>5.3E-3</v>
      </c>
    </row>
    <row r="404" spans="1:9" x14ac:dyDescent="0.25">
      <c r="A404" s="3">
        <v>0.67679999999999996</v>
      </c>
      <c r="B404" s="2">
        <v>0.62360000000000004</v>
      </c>
      <c r="C404" s="2">
        <v>2.6100000000000002E-2</v>
      </c>
      <c r="D404" s="2">
        <v>0.1835</v>
      </c>
      <c r="E404" s="2">
        <v>2.3599999999999999E-2</v>
      </c>
      <c r="F404" s="2">
        <v>0.1804</v>
      </c>
      <c r="G404" s="2">
        <v>1.84E-2</v>
      </c>
      <c r="H404" s="2">
        <v>1.24E-2</v>
      </c>
      <c r="I404" s="2">
        <v>5.3E-3</v>
      </c>
    </row>
    <row r="405" spans="1:9" x14ac:dyDescent="0.25">
      <c r="A405" s="3">
        <v>0.68</v>
      </c>
      <c r="B405" s="2">
        <v>0.62280000000000002</v>
      </c>
      <c r="C405" s="2">
        <v>2.64E-2</v>
      </c>
      <c r="D405" s="2">
        <v>0.18390000000000001</v>
      </c>
      <c r="E405" s="2">
        <v>2.3900000000000001E-2</v>
      </c>
      <c r="F405" s="2">
        <v>0.18090000000000001</v>
      </c>
      <c r="G405" s="2">
        <v>1.8599999999999998E-2</v>
      </c>
      <c r="H405" s="2">
        <v>1.24E-2</v>
      </c>
      <c r="I405" s="2">
        <v>5.4000000000000003E-3</v>
      </c>
    </row>
    <row r="406" spans="1:9" x14ac:dyDescent="0.25">
      <c r="A406" s="3">
        <v>0.68020000000000003</v>
      </c>
      <c r="B406" s="2">
        <v>0.62280000000000002</v>
      </c>
      <c r="C406" s="2">
        <v>2.64E-2</v>
      </c>
      <c r="D406" s="2">
        <v>0.18390000000000001</v>
      </c>
      <c r="E406" s="2">
        <v>2.3900000000000001E-2</v>
      </c>
      <c r="F406" s="2">
        <v>0.18090000000000001</v>
      </c>
      <c r="G406" s="2">
        <v>1.8599999999999998E-2</v>
      </c>
      <c r="H406" s="2">
        <v>1.24E-2</v>
      </c>
      <c r="I406" s="2">
        <v>5.4000000000000003E-3</v>
      </c>
    </row>
    <row r="407" spans="1:9" x14ac:dyDescent="0.25">
      <c r="A407" s="3">
        <v>0.68320000000000003</v>
      </c>
      <c r="B407" s="2">
        <v>0.622</v>
      </c>
      <c r="C407" s="2">
        <v>2.6599999999999999E-2</v>
      </c>
      <c r="D407" s="2">
        <v>0.18429999999999999</v>
      </c>
      <c r="E407" s="2">
        <v>2.4199999999999999E-2</v>
      </c>
      <c r="F407" s="2">
        <v>0.18140000000000001</v>
      </c>
      <c r="G407" s="2">
        <v>1.8800000000000001E-2</v>
      </c>
      <c r="H407" s="2">
        <v>1.23E-2</v>
      </c>
      <c r="I407" s="2">
        <v>5.4000000000000003E-3</v>
      </c>
    </row>
    <row r="408" spans="1:9" x14ac:dyDescent="0.25">
      <c r="A408" s="3">
        <v>0.68340000000000001</v>
      </c>
      <c r="B408" s="2">
        <v>0.622</v>
      </c>
      <c r="C408" s="2">
        <v>2.6700000000000002E-2</v>
      </c>
      <c r="D408" s="2">
        <v>0.18429999999999999</v>
      </c>
      <c r="E408" s="2">
        <v>2.4199999999999999E-2</v>
      </c>
      <c r="F408" s="2">
        <v>0.18140000000000001</v>
      </c>
      <c r="G408" s="2">
        <v>1.8800000000000001E-2</v>
      </c>
      <c r="H408" s="2">
        <v>1.23E-2</v>
      </c>
      <c r="I408" s="2">
        <v>5.4000000000000003E-3</v>
      </c>
    </row>
    <row r="409" spans="1:9" x14ac:dyDescent="0.25">
      <c r="A409" s="3">
        <v>0.68679999999999997</v>
      </c>
      <c r="B409" s="2">
        <v>0.62109999999999999</v>
      </c>
      <c r="C409" s="2">
        <v>2.7E-2</v>
      </c>
      <c r="D409" s="2">
        <v>0.1847</v>
      </c>
      <c r="E409" s="2">
        <v>2.46E-2</v>
      </c>
      <c r="F409" s="2">
        <v>0.18190000000000001</v>
      </c>
      <c r="G409" s="2">
        <v>1.9E-2</v>
      </c>
      <c r="H409" s="2">
        <v>1.2200000000000001E-2</v>
      </c>
      <c r="I409" s="2">
        <v>5.4000000000000003E-3</v>
      </c>
    </row>
    <row r="410" spans="1:9" x14ac:dyDescent="0.25">
      <c r="A410" s="3">
        <v>0.69320000000000004</v>
      </c>
      <c r="B410" s="2">
        <v>0.61950000000000005</v>
      </c>
      <c r="C410" s="2">
        <v>2.75E-2</v>
      </c>
      <c r="D410" s="2">
        <v>0.1855</v>
      </c>
      <c r="E410" s="2">
        <v>2.52E-2</v>
      </c>
      <c r="F410" s="2">
        <v>0.18279999999999999</v>
      </c>
      <c r="G410" s="2">
        <v>1.9300000000000001E-2</v>
      </c>
      <c r="H410" s="2">
        <v>1.21E-2</v>
      </c>
      <c r="I410" s="2">
        <v>5.4999999999999997E-3</v>
      </c>
    </row>
    <row r="411" spans="1:9" x14ac:dyDescent="0.25">
      <c r="A411" s="3">
        <v>0.69340000000000002</v>
      </c>
      <c r="B411" s="2">
        <v>0.61950000000000005</v>
      </c>
      <c r="C411" s="2">
        <v>2.76E-2</v>
      </c>
      <c r="D411" s="2">
        <v>0.18559999999999999</v>
      </c>
      <c r="E411" s="2">
        <v>2.52E-2</v>
      </c>
      <c r="F411" s="2">
        <v>0.18279999999999999</v>
      </c>
      <c r="G411" s="2">
        <v>1.9400000000000001E-2</v>
      </c>
      <c r="H411" s="2">
        <v>1.21E-2</v>
      </c>
      <c r="I411" s="2">
        <v>5.4999999999999997E-3</v>
      </c>
    </row>
    <row r="412" spans="1:9" x14ac:dyDescent="0.25">
      <c r="A412" s="3">
        <v>0.6966</v>
      </c>
      <c r="B412" s="2">
        <v>0.61870000000000003</v>
      </c>
      <c r="C412" s="2">
        <v>2.7900000000000001E-2</v>
      </c>
      <c r="D412" s="2">
        <v>0.18590000000000001</v>
      </c>
      <c r="E412" s="2">
        <v>2.5499999999999998E-2</v>
      </c>
      <c r="F412" s="2">
        <v>0.18329999999999999</v>
      </c>
      <c r="G412" s="2">
        <v>1.95E-2</v>
      </c>
      <c r="H412" s="2">
        <v>1.2E-2</v>
      </c>
      <c r="I412" s="2">
        <v>5.5999999999999999E-3</v>
      </c>
    </row>
    <row r="413" spans="1:9" x14ac:dyDescent="0.25">
      <c r="A413" s="3">
        <v>0.69679999999999997</v>
      </c>
      <c r="B413" s="2">
        <v>0.61870000000000003</v>
      </c>
      <c r="C413" s="2">
        <v>2.7900000000000001E-2</v>
      </c>
      <c r="D413" s="2">
        <v>0.186</v>
      </c>
      <c r="E413" s="2">
        <v>2.5600000000000001E-2</v>
      </c>
      <c r="F413" s="2">
        <v>0.18329999999999999</v>
      </c>
      <c r="G413" s="2">
        <v>1.95E-2</v>
      </c>
      <c r="H413" s="2">
        <v>1.2E-2</v>
      </c>
      <c r="I413" s="2">
        <v>5.5999999999999999E-3</v>
      </c>
    </row>
    <row r="414" spans="1:9" x14ac:dyDescent="0.25">
      <c r="A414" s="3">
        <v>0.7</v>
      </c>
      <c r="B414" s="2">
        <v>0.6179</v>
      </c>
      <c r="C414" s="2">
        <v>2.8199999999999999E-2</v>
      </c>
      <c r="D414" s="2">
        <v>0.18640000000000001</v>
      </c>
      <c r="E414" s="2">
        <v>2.5899999999999999E-2</v>
      </c>
      <c r="F414" s="2">
        <v>0.18379999999999999</v>
      </c>
      <c r="G414" s="2">
        <v>1.9699999999999999E-2</v>
      </c>
      <c r="H414" s="2">
        <v>1.2E-2</v>
      </c>
      <c r="I414" s="2">
        <v>5.5999999999999999E-3</v>
      </c>
    </row>
    <row r="415" spans="1:9" x14ac:dyDescent="0.25">
      <c r="A415" s="3">
        <v>0.70020000000000004</v>
      </c>
      <c r="B415" s="2">
        <v>0.61780000000000002</v>
      </c>
      <c r="C415" s="2">
        <v>2.8199999999999999E-2</v>
      </c>
      <c r="D415" s="2">
        <v>0.18640000000000001</v>
      </c>
      <c r="E415" s="2">
        <v>2.5899999999999999E-2</v>
      </c>
      <c r="F415" s="2">
        <v>0.18379999999999999</v>
      </c>
      <c r="G415" s="2">
        <v>1.9699999999999999E-2</v>
      </c>
      <c r="H415" s="2">
        <v>1.2E-2</v>
      </c>
      <c r="I415" s="2">
        <v>5.5999999999999999E-3</v>
      </c>
    </row>
    <row r="416" spans="1:9" x14ac:dyDescent="0.25">
      <c r="A416" s="3">
        <v>0.70679999999999998</v>
      </c>
      <c r="B416" s="2">
        <v>0.61619999999999997</v>
      </c>
      <c r="C416" s="2">
        <v>2.8799999999999999E-2</v>
      </c>
      <c r="D416" s="2">
        <v>0.18720000000000001</v>
      </c>
      <c r="E416" s="2">
        <v>2.6599999999999999E-2</v>
      </c>
      <c r="F416" s="2">
        <v>0.18479999999999999</v>
      </c>
      <c r="G416" s="2">
        <v>2.01E-2</v>
      </c>
      <c r="H416" s="2">
        <v>1.18E-2</v>
      </c>
      <c r="I416" s="2">
        <v>5.7000000000000002E-3</v>
      </c>
    </row>
    <row r="417" spans="1:9" x14ac:dyDescent="0.25">
      <c r="A417" s="3">
        <v>0.71</v>
      </c>
      <c r="B417" s="2">
        <v>0.61539999999999995</v>
      </c>
      <c r="C417" s="2">
        <v>2.9100000000000001E-2</v>
      </c>
      <c r="D417" s="2">
        <v>0.18759999999999999</v>
      </c>
      <c r="E417" s="2">
        <v>2.69E-2</v>
      </c>
      <c r="F417" s="2">
        <v>0.18529999999999999</v>
      </c>
      <c r="G417" s="2">
        <v>2.0299999999999999E-2</v>
      </c>
      <c r="H417" s="2">
        <v>1.18E-2</v>
      </c>
      <c r="I417" s="2">
        <v>5.7000000000000002E-3</v>
      </c>
    </row>
    <row r="418" spans="1:9" x14ac:dyDescent="0.25">
      <c r="A418" s="3">
        <v>0.71020000000000005</v>
      </c>
      <c r="B418" s="2">
        <v>0.61529999999999996</v>
      </c>
      <c r="C418" s="2">
        <v>2.9100000000000001E-2</v>
      </c>
      <c r="D418" s="2">
        <v>0.18759999999999999</v>
      </c>
      <c r="E418" s="2">
        <v>2.7E-2</v>
      </c>
      <c r="F418" s="2">
        <v>0.18529999999999999</v>
      </c>
      <c r="G418" s="2">
        <v>2.0299999999999999E-2</v>
      </c>
      <c r="H418" s="2">
        <v>1.18E-2</v>
      </c>
      <c r="I418" s="2">
        <v>5.7000000000000002E-3</v>
      </c>
    </row>
    <row r="419" spans="1:9" x14ac:dyDescent="0.25">
      <c r="A419" s="3">
        <v>0.71340000000000003</v>
      </c>
      <c r="B419" s="2">
        <v>0.61450000000000005</v>
      </c>
      <c r="C419" s="2">
        <v>2.9499999999999998E-2</v>
      </c>
      <c r="D419" s="2">
        <v>0.188</v>
      </c>
      <c r="E419" s="2">
        <v>2.7300000000000001E-2</v>
      </c>
      <c r="F419" s="2">
        <v>0.18579999999999999</v>
      </c>
      <c r="G419" s="2">
        <v>2.0500000000000001E-2</v>
      </c>
      <c r="H419" s="2">
        <v>1.17E-2</v>
      </c>
      <c r="I419" s="2">
        <v>5.7000000000000002E-3</v>
      </c>
    </row>
    <row r="420" spans="1:9" x14ac:dyDescent="0.25">
      <c r="A420" s="3">
        <v>0.71660000000000001</v>
      </c>
      <c r="B420" s="2">
        <v>0.61370000000000002</v>
      </c>
      <c r="C420" s="2">
        <v>2.98E-2</v>
      </c>
      <c r="D420" s="2">
        <v>0.18840000000000001</v>
      </c>
      <c r="E420" s="2">
        <v>2.7699999999999999E-2</v>
      </c>
      <c r="F420" s="2">
        <v>0.1862</v>
      </c>
      <c r="G420" s="2">
        <v>2.07E-2</v>
      </c>
      <c r="H420" s="2">
        <v>1.17E-2</v>
      </c>
      <c r="I420" s="2">
        <v>5.7999999999999996E-3</v>
      </c>
    </row>
    <row r="421" spans="1:9" x14ac:dyDescent="0.25">
      <c r="A421" s="3">
        <v>0.71679999999999999</v>
      </c>
      <c r="B421" s="2">
        <v>0.61370000000000002</v>
      </c>
      <c r="C421" s="2">
        <v>2.98E-2</v>
      </c>
      <c r="D421" s="2">
        <v>0.18840000000000001</v>
      </c>
      <c r="E421" s="2">
        <v>2.7699999999999999E-2</v>
      </c>
      <c r="F421" s="2">
        <v>0.18629999999999999</v>
      </c>
      <c r="G421" s="2">
        <v>2.07E-2</v>
      </c>
      <c r="H421" s="2">
        <v>1.17E-2</v>
      </c>
      <c r="I421" s="2">
        <v>5.7999999999999996E-3</v>
      </c>
    </row>
    <row r="422" spans="1:9" x14ac:dyDescent="0.25">
      <c r="A422" s="3">
        <v>0.72</v>
      </c>
      <c r="B422" s="2">
        <v>0.6129</v>
      </c>
      <c r="C422" s="2">
        <v>3.0099999999999998E-2</v>
      </c>
      <c r="D422" s="2">
        <v>0.1888</v>
      </c>
      <c r="E422" s="2">
        <v>2.8000000000000001E-2</v>
      </c>
      <c r="F422" s="2">
        <v>0.1867</v>
      </c>
      <c r="G422" s="2">
        <v>2.0899999999999998E-2</v>
      </c>
      <c r="H422" s="2">
        <v>1.1599999999999999E-2</v>
      </c>
      <c r="I422" s="2">
        <v>5.7999999999999996E-3</v>
      </c>
    </row>
    <row r="423" spans="1:9" x14ac:dyDescent="0.25">
      <c r="A423" s="3">
        <v>0.72660000000000002</v>
      </c>
      <c r="B423" s="2">
        <v>0.61119999999999997</v>
      </c>
      <c r="C423" s="2">
        <v>3.0800000000000001E-2</v>
      </c>
      <c r="D423" s="2">
        <v>0.18959999999999999</v>
      </c>
      <c r="E423" s="2">
        <v>2.8799999999999999E-2</v>
      </c>
      <c r="F423" s="2">
        <v>0.18770000000000001</v>
      </c>
      <c r="G423" s="2">
        <v>2.1399999999999999E-2</v>
      </c>
      <c r="H423" s="2">
        <v>1.15E-2</v>
      </c>
      <c r="I423" s="2">
        <v>5.8999999999999999E-3</v>
      </c>
    </row>
    <row r="424" spans="1:9" x14ac:dyDescent="0.25">
      <c r="A424" s="3">
        <v>0.7268</v>
      </c>
      <c r="B424" s="2">
        <v>0.61119999999999997</v>
      </c>
      <c r="C424" s="2">
        <v>3.0800000000000001E-2</v>
      </c>
      <c r="D424" s="2">
        <v>0.18970000000000001</v>
      </c>
      <c r="E424" s="2">
        <v>2.8799999999999999E-2</v>
      </c>
      <c r="F424" s="2">
        <v>0.18770000000000001</v>
      </c>
      <c r="G424" s="2">
        <v>2.1399999999999999E-2</v>
      </c>
      <c r="H424" s="2">
        <v>1.15E-2</v>
      </c>
      <c r="I424" s="2">
        <v>5.8999999999999999E-3</v>
      </c>
    </row>
    <row r="425" spans="1:9" x14ac:dyDescent="0.25">
      <c r="A425" s="3">
        <v>0.73</v>
      </c>
      <c r="B425" s="2">
        <v>0.61040000000000005</v>
      </c>
      <c r="C425" s="2">
        <v>3.1099999999999999E-2</v>
      </c>
      <c r="D425" s="2">
        <v>0.19</v>
      </c>
      <c r="E425" s="2">
        <v>2.92E-2</v>
      </c>
      <c r="F425" s="2">
        <v>0.18820000000000001</v>
      </c>
      <c r="G425" s="2">
        <v>2.1600000000000001E-2</v>
      </c>
      <c r="H425" s="2">
        <v>1.14E-2</v>
      </c>
      <c r="I425" s="2">
        <v>5.8999999999999999E-3</v>
      </c>
    </row>
    <row r="426" spans="1:9" x14ac:dyDescent="0.25">
      <c r="A426" s="3">
        <v>0.73319999999999996</v>
      </c>
      <c r="B426" s="2">
        <v>0.60960000000000003</v>
      </c>
      <c r="C426" s="2">
        <v>3.1399999999999997E-2</v>
      </c>
      <c r="D426" s="2">
        <v>0.19040000000000001</v>
      </c>
      <c r="E426" s="2">
        <v>2.9499999999999998E-2</v>
      </c>
      <c r="F426" s="2">
        <v>0.18870000000000001</v>
      </c>
      <c r="G426" s="2">
        <v>2.18E-2</v>
      </c>
      <c r="H426" s="2">
        <v>1.1299999999999999E-2</v>
      </c>
      <c r="I426" s="2">
        <v>5.8999999999999999E-3</v>
      </c>
    </row>
    <row r="427" spans="1:9" x14ac:dyDescent="0.25">
      <c r="A427" s="3">
        <v>0.73340000000000005</v>
      </c>
      <c r="B427" s="2">
        <v>0.60950000000000004</v>
      </c>
      <c r="C427" s="2">
        <v>3.15E-2</v>
      </c>
      <c r="D427" s="2">
        <v>0.1905</v>
      </c>
      <c r="E427" s="2">
        <v>2.9499999999999998E-2</v>
      </c>
      <c r="F427" s="2">
        <v>0.18870000000000001</v>
      </c>
      <c r="G427" s="2">
        <v>2.18E-2</v>
      </c>
      <c r="H427" s="2">
        <v>1.1299999999999999E-2</v>
      </c>
      <c r="I427" s="2">
        <v>5.8999999999999999E-3</v>
      </c>
    </row>
    <row r="428" spans="1:9" x14ac:dyDescent="0.25">
      <c r="A428" s="3">
        <v>0.73660000000000003</v>
      </c>
      <c r="B428" s="2">
        <v>0.60870000000000002</v>
      </c>
      <c r="C428" s="2">
        <v>3.1800000000000002E-2</v>
      </c>
      <c r="D428" s="2">
        <v>0.19089999999999999</v>
      </c>
      <c r="E428" s="2">
        <v>2.9899999999999999E-2</v>
      </c>
      <c r="F428" s="2">
        <v>0.18920000000000001</v>
      </c>
      <c r="G428" s="2">
        <v>2.1999999999999999E-2</v>
      </c>
      <c r="H428" s="2">
        <v>1.1299999999999999E-2</v>
      </c>
      <c r="I428" s="2">
        <v>6.0000000000000001E-3</v>
      </c>
    </row>
    <row r="429" spans="1:9" x14ac:dyDescent="0.25">
      <c r="A429" s="3">
        <v>0.73680000000000001</v>
      </c>
      <c r="B429" s="2">
        <v>0.60860000000000003</v>
      </c>
      <c r="C429" s="2">
        <v>3.1800000000000002E-2</v>
      </c>
      <c r="D429" s="2">
        <v>0.19089999999999999</v>
      </c>
      <c r="E429" s="2">
        <v>2.9899999999999999E-2</v>
      </c>
      <c r="F429" s="2">
        <v>0.18920000000000001</v>
      </c>
      <c r="G429" s="2">
        <v>2.1999999999999999E-2</v>
      </c>
      <c r="H429" s="2">
        <v>1.1299999999999999E-2</v>
      </c>
      <c r="I429" s="2">
        <v>6.0000000000000001E-3</v>
      </c>
    </row>
    <row r="430" spans="1:9" x14ac:dyDescent="0.25">
      <c r="A430" s="3">
        <v>0.74339999999999995</v>
      </c>
      <c r="B430" s="2">
        <v>0.60699999999999998</v>
      </c>
      <c r="C430" s="2">
        <v>3.2500000000000001E-2</v>
      </c>
      <c r="D430" s="2">
        <v>0.19170000000000001</v>
      </c>
      <c r="E430" s="2">
        <v>3.0700000000000002E-2</v>
      </c>
      <c r="F430" s="2">
        <v>0.19020000000000001</v>
      </c>
      <c r="G430" s="2">
        <v>2.2499999999999999E-2</v>
      </c>
      <c r="H430" s="2">
        <v>1.11E-2</v>
      </c>
      <c r="I430" s="2">
        <v>6.0000000000000001E-3</v>
      </c>
    </row>
    <row r="431" spans="1:9" x14ac:dyDescent="0.25">
      <c r="A431" s="3">
        <v>0.74660000000000004</v>
      </c>
      <c r="B431" s="2">
        <v>0.60619999999999996</v>
      </c>
      <c r="C431" s="2">
        <v>3.2800000000000003E-2</v>
      </c>
      <c r="D431" s="2">
        <v>0.19209999999999999</v>
      </c>
      <c r="E431" s="2">
        <v>3.1099999999999999E-2</v>
      </c>
      <c r="F431" s="2">
        <v>0.19059999999999999</v>
      </c>
      <c r="G431" s="2">
        <v>2.2700000000000001E-2</v>
      </c>
      <c r="H431" s="2">
        <v>1.11E-2</v>
      </c>
      <c r="I431" s="2">
        <v>6.1000000000000004E-3</v>
      </c>
    </row>
    <row r="432" spans="1:9" x14ac:dyDescent="0.25">
      <c r="A432" s="3">
        <v>0.74680000000000002</v>
      </c>
      <c r="B432" s="2">
        <v>0.60609999999999997</v>
      </c>
      <c r="C432" s="2">
        <v>3.2899999999999999E-2</v>
      </c>
      <c r="D432" s="2">
        <v>0.19209999999999999</v>
      </c>
      <c r="E432" s="2">
        <v>3.1099999999999999E-2</v>
      </c>
      <c r="F432" s="2">
        <v>0.19070000000000001</v>
      </c>
      <c r="G432" s="2">
        <v>2.2700000000000001E-2</v>
      </c>
      <c r="H432" s="2">
        <v>1.11E-2</v>
      </c>
      <c r="I432" s="2">
        <v>6.1000000000000004E-3</v>
      </c>
    </row>
    <row r="433" spans="1:9" x14ac:dyDescent="0.25">
      <c r="A433" s="3">
        <v>0.75</v>
      </c>
      <c r="B433" s="2">
        <v>0.60529999999999995</v>
      </c>
      <c r="C433" s="2">
        <v>3.32E-2</v>
      </c>
      <c r="D433" s="2">
        <v>0.1925</v>
      </c>
      <c r="E433" s="2">
        <v>3.15E-2</v>
      </c>
      <c r="F433" s="2">
        <v>0.19120000000000001</v>
      </c>
      <c r="G433" s="2">
        <v>2.29E-2</v>
      </c>
      <c r="H433" s="2">
        <v>1.0999999999999999E-2</v>
      </c>
      <c r="I433" s="2">
        <v>6.1000000000000004E-3</v>
      </c>
    </row>
    <row r="434" spans="1:9" x14ac:dyDescent="0.25">
      <c r="A434" s="3">
        <v>0.75019999999999998</v>
      </c>
      <c r="B434" s="2">
        <v>0.60529999999999995</v>
      </c>
      <c r="C434" s="2">
        <v>3.32E-2</v>
      </c>
      <c r="D434" s="2">
        <v>0.1925</v>
      </c>
      <c r="E434" s="2">
        <v>3.15E-2</v>
      </c>
      <c r="F434" s="2">
        <v>0.19120000000000001</v>
      </c>
      <c r="G434" s="2">
        <v>2.29E-2</v>
      </c>
      <c r="H434" s="2">
        <v>1.0999999999999999E-2</v>
      </c>
      <c r="I434" s="2">
        <v>6.1000000000000004E-3</v>
      </c>
    </row>
    <row r="435" spans="1:9" x14ac:dyDescent="0.25">
      <c r="A435" s="3">
        <v>0.76</v>
      </c>
      <c r="B435" s="2">
        <v>0.6028</v>
      </c>
      <c r="C435" s="2">
        <v>3.4299999999999997E-2</v>
      </c>
      <c r="D435" s="2">
        <v>0.1938</v>
      </c>
      <c r="E435" s="2">
        <v>3.27E-2</v>
      </c>
      <c r="F435" s="2">
        <v>0.19259999999999999</v>
      </c>
      <c r="G435" s="2">
        <v>2.3599999999999999E-2</v>
      </c>
      <c r="H435" s="2">
        <v>1.0800000000000001E-2</v>
      </c>
      <c r="I435" s="2">
        <v>6.1999999999999998E-3</v>
      </c>
    </row>
    <row r="436" spans="1:9" x14ac:dyDescent="0.25">
      <c r="A436" s="3">
        <v>0.76019999999999999</v>
      </c>
      <c r="B436" s="2">
        <v>0.60270000000000001</v>
      </c>
      <c r="C436" s="2">
        <v>3.4299999999999997E-2</v>
      </c>
      <c r="D436" s="2">
        <v>0.1938</v>
      </c>
      <c r="E436" s="2">
        <v>3.27E-2</v>
      </c>
      <c r="F436" s="2">
        <v>0.19270000000000001</v>
      </c>
      <c r="G436" s="2">
        <v>2.3699999999999999E-2</v>
      </c>
      <c r="H436" s="2">
        <v>1.0800000000000001E-2</v>
      </c>
      <c r="I436" s="2">
        <v>6.1999999999999998E-3</v>
      </c>
    </row>
    <row r="437" spans="1:9" x14ac:dyDescent="0.25">
      <c r="A437" s="3">
        <v>0.76339999999999997</v>
      </c>
      <c r="B437" s="2">
        <v>0.60189999999999999</v>
      </c>
      <c r="C437" s="2">
        <v>3.4599999999999999E-2</v>
      </c>
      <c r="D437" s="2">
        <v>0.19420000000000001</v>
      </c>
      <c r="E437" s="2">
        <v>3.3099999999999997E-2</v>
      </c>
      <c r="F437" s="2">
        <v>0.19309999999999999</v>
      </c>
      <c r="G437" s="2">
        <v>2.3900000000000001E-2</v>
      </c>
      <c r="H437" s="2">
        <v>1.0800000000000001E-2</v>
      </c>
      <c r="I437" s="2">
        <v>6.1999999999999998E-3</v>
      </c>
    </row>
    <row r="438" spans="1:9" x14ac:dyDescent="0.25">
      <c r="A438" s="3">
        <v>0.76659999999999995</v>
      </c>
      <c r="B438" s="2">
        <v>0.60109999999999997</v>
      </c>
      <c r="C438" s="2">
        <v>3.5000000000000003E-2</v>
      </c>
      <c r="D438" s="2">
        <v>0.1946</v>
      </c>
      <c r="E438" s="2">
        <v>3.3500000000000002E-2</v>
      </c>
      <c r="F438" s="2">
        <v>0.19359999999999999</v>
      </c>
      <c r="G438" s="2">
        <v>2.41E-2</v>
      </c>
      <c r="H438" s="2">
        <v>1.0699999999999999E-2</v>
      </c>
      <c r="I438" s="2">
        <v>6.1999999999999998E-3</v>
      </c>
    </row>
    <row r="439" spans="1:9" x14ac:dyDescent="0.25">
      <c r="A439" s="3">
        <v>0.76680000000000004</v>
      </c>
      <c r="B439" s="2">
        <v>0.60099999999999998</v>
      </c>
      <c r="C439" s="2">
        <v>3.5000000000000003E-2</v>
      </c>
      <c r="D439" s="2">
        <v>0.1946</v>
      </c>
      <c r="E439" s="2">
        <v>3.3500000000000002E-2</v>
      </c>
      <c r="F439" s="2">
        <v>0.19359999999999999</v>
      </c>
      <c r="G439" s="2">
        <v>2.41E-2</v>
      </c>
      <c r="H439" s="2">
        <v>1.0699999999999999E-2</v>
      </c>
      <c r="I439" s="2">
        <v>6.1999999999999998E-3</v>
      </c>
    </row>
    <row r="440" spans="1:9" x14ac:dyDescent="0.25">
      <c r="A440" s="3">
        <v>0.77339999999999998</v>
      </c>
      <c r="B440" s="2">
        <v>0.59940000000000004</v>
      </c>
      <c r="C440" s="2">
        <v>3.5700000000000003E-2</v>
      </c>
      <c r="D440" s="2">
        <v>0.19539999999999999</v>
      </c>
      <c r="E440" s="2">
        <v>3.4299999999999997E-2</v>
      </c>
      <c r="F440" s="2">
        <v>0.1946</v>
      </c>
      <c r="G440" s="2">
        <v>2.46E-2</v>
      </c>
      <c r="H440" s="2">
        <v>1.06E-2</v>
      </c>
      <c r="I440" s="2">
        <v>6.3E-3</v>
      </c>
    </row>
    <row r="441" spans="1:9" x14ac:dyDescent="0.25">
      <c r="A441" s="3">
        <v>0.77659999999999996</v>
      </c>
      <c r="B441" s="2">
        <v>0.59850000000000003</v>
      </c>
      <c r="C441" s="2">
        <v>3.61E-2</v>
      </c>
      <c r="D441" s="2">
        <v>0.1958</v>
      </c>
      <c r="E441" s="2">
        <v>3.4700000000000002E-2</v>
      </c>
      <c r="F441" s="2">
        <v>0.1951</v>
      </c>
      <c r="G441" s="2">
        <v>2.4899999999999999E-2</v>
      </c>
      <c r="H441" s="2">
        <v>1.0500000000000001E-2</v>
      </c>
      <c r="I441" s="2">
        <v>6.3E-3</v>
      </c>
    </row>
    <row r="442" spans="1:9" x14ac:dyDescent="0.25">
      <c r="A442" s="3">
        <v>0.77680000000000005</v>
      </c>
      <c r="B442" s="2">
        <v>0.59850000000000003</v>
      </c>
      <c r="C442" s="2">
        <v>3.61E-2</v>
      </c>
      <c r="D442" s="2">
        <v>0.1958</v>
      </c>
      <c r="E442" s="2">
        <v>3.4799999999999998E-2</v>
      </c>
      <c r="F442" s="2">
        <v>0.1951</v>
      </c>
      <c r="G442" s="2">
        <v>2.4899999999999999E-2</v>
      </c>
      <c r="H442" s="2">
        <v>1.0500000000000001E-2</v>
      </c>
      <c r="I442" s="2">
        <v>6.3E-3</v>
      </c>
    </row>
    <row r="443" spans="1:9" x14ac:dyDescent="0.25">
      <c r="A443" s="3">
        <v>0.78</v>
      </c>
      <c r="B443" s="2">
        <v>0.59770000000000001</v>
      </c>
      <c r="C443" s="2">
        <v>3.6499999999999998E-2</v>
      </c>
      <c r="D443" s="2">
        <v>0.19620000000000001</v>
      </c>
      <c r="E443" s="2">
        <v>3.5200000000000002E-2</v>
      </c>
      <c r="F443" s="2">
        <v>0.1956</v>
      </c>
      <c r="G443" s="2">
        <v>2.5100000000000001E-2</v>
      </c>
      <c r="H443" s="2">
        <v>1.0500000000000001E-2</v>
      </c>
      <c r="I443" s="2">
        <v>6.3E-3</v>
      </c>
    </row>
    <row r="444" spans="1:9" x14ac:dyDescent="0.25">
      <c r="A444" s="3">
        <v>0.78339999999999999</v>
      </c>
      <c r="B444" s="2">
        <v>0.5968</v>
      </c>
      <c r="C444" s="2">
        <v>3.6900000000000002E-2</v>
      </c>
      <c r="D444" s="2">
        <v>0.1966</v>
      </c>
      <c r="E444" s="2">
        <v>3.56E-2</v>
      </c>
      <c r="F444" s="2">
        <v>0.1961</v>
      </c>
      <c r="G444" s="2">
        <v>2.5399999999999999E-2</v>
      </c>
      <c r="H444" s="2">
        <v>1.04E-2</v>
      </c>
      <c r="I444" s="2">
        <v>6.4000000000000003E-3</v>
      </c>
    </row>
    <row r="445" spans="1:9" x14ac:dyDescent="0.25">
      <c r="A445" s="3">
        <v>0.78659999999999997</v>
      </c>
      <c r="B445" s="2">
        <v>0.59599999999999997</v>
      </c>
      <c r="C445" s="2">
        <v>3.7199999999999997E-2</v>
      </c>
      <c r="D445" s="2">
        <v>0.19700000000000001</v>
      </c>
      <c r="E445" s="2">
        <v>3.5999999999999997E-2</v>
      </c>
      <c r="F445" s="2">
        <v>0.1966</v>
      </c>
      <c r="G445" s="2">
        <v>2.5600000000000001E-2</v>
      </c>
      <c r="H445" s="2">
        <v>1.04E-2</v>
      </c>
      <c r="I445" s="2">
        <v>6.4000000000000003E-3</v>
      </c>
    </row>
    <row r="446" spans="1:9" x14ac:dyDescent="0.25">
      <c r="A446" s="3">
        <v>0.78680000000000005</v>
      </c>
      <c r="B446" s="2">
        <v>0.59589999999999999</v>
      </c>
      <c r="C446" s="2">
        <v>3.7199999999999997E-2</v>
      </c>
      <c r="D446" s="2">
        <v>0.1971</v>
      </c>
      <c r="E446" s="2">
        <v>3.5999999999999997E-2</v>
      </c>
      <c r="F446" s="2">
        <v>0.1966</v>
      </c>
      <c r="G446" s="2">
        <v>2.5600000000000001E-2</v>
      </c>
      <c r="H446" s="2">
        <v>1.04E-2</v>
      </c>
      <c r="I446" s="2">
        <v>6.4000000000000003E-3</v>
      </c>
    </row>
    <row r="447" spans="1:9" x14ac:dyDescent="0.25">
      <c r="A447" s="3">
        <v>0.79339999999999999</v>
      </c>
      <c r="B447" s="2">
        <v>0.59419999999999995</v>
      </c>
      <c r="C447" s="2">
        <v>3.7999999999999999E-2</v>
      </c>
      <c r="D447" s="2">
        <v>0.19789999999999999</v>
      </c>
      <c r="E447" s="2">
        <v>3.6900000000000002E-2</v>
      </c>
      <c r="F447" s="2">
        <v>0.1976</v>
      </c>
      <c r="G447" s="2">
        <v>2.6100000000000002E-2</v>
      </c>
      <c r="H447" s="2">
        <v>1.03E-2</v>
      </c>
      <c r="I447" s="2">
        <v>6.4999999999999997E-3</v>
      </c>
    </row>
    <row r="448" spans="1:9" x14ac:dyDescent="0.25">
      <c r="A448" s="3">
        <v>0.8</v>
      </c>
      <c r="B448" s="2">
        <v>0.59250000000000003</v>
      </c>
      <c r="C448" s="2">
        <v>3.8699999999999998E-2</v>
      </c>
      <c r="D448" s="2">
        <v>0.19869999999999999</v>
      </c>
      <c r="E448" s="2">
        <v>3.78E-2</v>
      </c>
      <c r="F448" s="2">
        <v>0.1986</v>
      </c>
      <c r="G448" s="2">
        <v>2.6700000000000002E-2</v>
      </c>
      <c r="H448" s="2">
        <v>1.01E-2</v>
      </c>
      <c r="I448" s="2">
        <v>6.4999999999999997E-3</v>
      </c>
    </row>
    <row r="449" spans="1:9" x14ac:dyDescent="0.25">
      <c r="A449" s="3">
        <v>0.80020000000000002</v>
      </c>
      <c r="B449" s="2">
        <v>0.59250000000000003</v>
      </c>
      <c r="C449" s="2">
        <v>3.8800000000000001E-2</v>
      </c>
      <c r="D449" s="2">
        <v>0.19869999999999999</v>
      </c>
      <c r="E449" s="2">
        <v>3.78E-2</v>
      </c>
      <c r="F449" s="2">
        <v>0.19869999999999999</v>
      </c>
      <c r="G449" s="2">
        <v>2.6700000000000002E-2</v>
      </c>
      <c r="H449" s="2">
        <v>1.01E-2</v>
      </c>
      <c r="I449" s="2">
        <v>6.4999999999999997E-3</v>
      </c>
    </row>
    <row r="450" spans="1:9" x14ac:dyDescent="0.25">
      <c r="A450" s="3">
        <v>0.8034</v>
      </c>
      <c r="B450" s="2">
        <v>0.59160000000000001</v>
      </c>
      <c r="C450" s="2">
        <v>3.9100000000000003E-2</v>
      </c>
      <c r="D450" s="2">
        <v>0.1991</v>
      </c>
      <c r="E450" s="2">
        <v>3.8199999999999998E-2</v>
      </c>
      <c r="F450" s="2">
        <v>0.1991</v>
      </c>
      <c r="G450" s="2">
        <v>2.69E-2</v>
      </c>
      <c r="H450" s="2">
        <v>1.01E-2</v>
      </c>
      <c r="I450" s="2">
        <v>6.4999999999999997E-3</v>
      </c>
    </row>
    <row r="451" spans="1:9" x14ac:dyDescent="0.25">
      <c r="A451" s="3">
        <v>0.81</v>
      </c>
      <c r="B451" s="2">
        <v>0.58989999999999998</v>
      </c>
      <c r="C451" s="2">
        <v>3.9899999999999998E-2</v>
      </c>
      <c r="D451" s="2">
        <v>0.19989999999999999</v>
      </c>
      <c r="E451" s="2">
        <v>3.9100000000000003E-2</v>
      </c>
      <c r="F451" s="2">
        <v>0.2001</v>
      </c>
      <c r="G451" s="2">
        <v>2.75E-2</v>
      </c>
      <c r="H451" s="2">
        <v>0.01</v>
      </c>
      <c r="I451" s="2">
        <v>6.6E-3</v>
      </c>
    </row>
    <row r="452" spans="1:9" x14ac:dyDescent="0.25">
      <c r="A452" s="3">
        <v>0.81340000000000001</v>
      </c>
      <c r="B452" s="2">
        <v>0.58909999999999996</v>
      </c>
      <c r="C452" s="2">
        <v>4.0300000000000002E-2</v>
      </c>
      <c r="D452" s="2">
        <v>0.20039999999999999</v>
      </c>
      <c r="E452" s="2">
        <v>3.95E-2</v>
      </c>
      <c r="F452" s="2">
        <v>0.20069999999999999</v>
      </c>
      <c r="G452" s="2">
        <v>2.7699999999999999E-2</v>
      </c>
      <c r="H452" s="2">
        <v>9.9000000000000008E-3</v>
      </c>
      <c r="I452" s="2">
        <v>6.6E-3</v>
      </c>
    </row>
    <row r="453" spans="1:9" x14ac:dyDescent="0.25">
      <c r="A453" s="3">
        <v>0.81659999999999999</v>
      </c>
      <c r="B453" s="2">
        <v>0.58819999999999995</v>
      </c>
      <c r="C453" s="2">
        <v>4.07E-2</v>
      </c>
      <c r="D453" s="2">
        <v>0.20080000000000001</v>
      </c>
      <c r="E453" s="2">
        <v>0.04</v>
      </c>
      <c r="F453" s="2">
        <v>0.2011</v>
      </c>
      <c r="G453" s="2">
        <v>2.8000000000000001E-2</v>
      </c>
      <c r="H453" s="2">
        <v>9.9000000000000008E-3</v>
      </c>
      <c r="I453" s="2">
        <v>6.6E-3</v>
      </c>
    </row>
    <row r="454" spans="1:9" x14ac:dyDescent="0.25">
      <c r="A454" s="3">
        <v>0.81679999999999997</v>
      </c>
      <c r="B454" s="2">
        <v>0.58819999999999995</v>
      </c>
      <c r="C454" s="2">
        <v>4.07E-2</v>
      </c>
      <c r="D454" s="2">
        <v>0.20080000000000001</v>
      </c>
      <c r="E454" s="2">
        <v>0.04</v>
      </c>
      <c r="F454" s="2">
        <v>0.20119999999999999</v>
      </c>
      <c r="G454" s="2">
        <v>2.8000000000000001E-2</v>
      </c>
      <c r="H454" s="2">
        <v>9.9000000000000008E-3</v>
      </c>
      <c r="I454" s="2">
        <v>6.6E-3</v>
      </c>
    </row>
    <row r="455" spans="1:9" x14ac:dyDescent="0.25">
      <c r="A455" s="3">
        <v>0.8266</v>
      </c>
      <c r="B455" s="2">
        <v>0.58560000000000001</v>
      </c>
      <c r="C455" s="2">
        <v>4.1799999999999997E-2</v>
      </c>
      <c r="D455" s="2">
        <v>0.20200000000000001</v>
      </c>
      <c r="E455" s="2">
        <v>4.1300000000000003E-2</v>
      </c>
      <c r="F455" s="2">
        <v>0.20269999999999999</v>
      </c>
      <c r="G455" s="2">
        <v>2.8799999999999999E-2</v>
      </c>
      <c r="H455" s="2">
        <v>9.7000000000000003E-3</v>
      </c>
      <c r="I455" s="2">
        <v>6.7000000000000002E-3</v>
      </c>
    </row>
    <row r="456" spans="1:9" x14ac:dyDescent="0.25">
      <c r="A456" s="3">
        <v>0.82679999999999998</v>
      </c>
      <c r="B456" s="2">
        <v>0.58560000000000001</v>
      </c>
      <c r="C456" s="2">
        <v>4.19E-2</v>
      </c>
      <c r="D456" s="2">
        <v>0.20200000000000001</v>
      </c>
      <c r="E456" s="2">
        <v>4.1300000000000003E-2</v>
      </c>
      <c r="F456" s="2">
        <v>0.20269999999999999</v>
      </c>
      <c r="G456" s="2">
        <v>2.8799999999999999E-2</v>
      </c>
      <c r="H456" s="2">
        <v>9.7000000000000003E-3</v>
      </c>
      <c r="I456" s="2">
        <v>6.7000000000000002E-3</v>
      </c>
    </row>
    <row r="457" spans="1:9" x14ac:dyDescent="0.25">
      <c r="A457" s="3">
        <v>0.83</v>
      </c>
      <c r="B457" s="2">
        <v>0.5847</v>
      </c>
      <c r="C457" s="2">
        <v>4.2200000000000001E-2</v>
      </c>
      <c r="D457" s="2">
        <v>0.2024</v>
      </c>
      <c r="E457" s="2">
        <v>4.1799999999999997E-2</v>
      </c>
      <c r="F457" s="2">
        <v>0.20319999999999999</v>
      </c>
      <c r="G457" s="2">
        <v>2.9100000000000001E-2</v>
      </c>
      <c r="H457" s="2">
        <v>9.5999999999999992E-3</v>
      </c>
      <c r="I457" s="2">
        <v>6.7000000000000002E-3</v>
      </c>
    </row>
    <row r="458" spans="1:9" x14ac:dyDescent="0.25">
      <c r="A458" s="3">
        <v>0.83340000000000003</v>
      </c>
      <c r="B458" s="2">
        <v>0.58389999999999997</v>
      </c>
      <c r="C458" s="2">
        <v>4.2599999999999999E-2</v>
      </c>
      <c r="D458" s="2">
        <v>0.2029</v>
      </c>
      <c r="E458" s="2">
        <v>4.2200000000000001E-2</v>
      </c>
      <c r="F458" s="2">
        <v>0.20369999999999999</v>
      </c>
      <c r="G458" s="2">
        <v>2.9399999999999999E-2</v>
      </c>
      <c r="H458" s="2">
        <v>9.5999999999999992E-3</v>
      </c>
      <c r="I458" s="2">
        <v>6.7000000000000002E-3</v>
      </c>
    </row>
    <row r="459" spans="1:9" x14ac:dyDescent="0.25">
      <c r="A459" s="3">
        <v>0.84340000000000004</v>
      </c>
      <c r="B459" s="2">
        <v>0.58130000000000004</v>
      </c>
      <c r="C459" s="2">
        <v>4.3799999999999999E-2</v>
      </c>
      <c r="D459" s="2">
        <v>0.2041</v>
      </c>
      <c r="E459" s="2">
        <v>4.36E-2</v>
      </c>
      <c r="F459" s="2">
        <v>0.20519999999999999</v>
      </c>
      <c r="G459" s="2">
        <v>3.0300000000000001E-2</v>
      </c>
      <c r="H459" s="2">
        <v>9.4000000000000004E-3</v>
      </c>
      <c r="I459" s="2">
        <v>6.7999999999999996E-3</v>
      </c>
    </row>
    <row r="460" spans="1:9" x14ac:dyDescent="0.25">
      <c r="A460" s="3">
        <v>0.85</v>
      </c>
      <c r="B460" s="2">
        <v>0.57950000000000002</v>
      </c>
      <c r="C460" s="2">
        <v>4.4600000000000001E-2</v>
      </c>
      <c r="D460" s="2">
        <v>0.2049</v>
      </c>
      <c r="E460" s="2">
        <v>4.4600000000000001E-2</v>
      </c>
      <c r="F460" s="2">
        <v>0.20619999999999999</v>
      </c>
      <c r="G460" s="2">
        <v>3.0800000000000001E-2</v>
      </c>
      <c r="H460" s="2">
        <v>9.2999999999999992E-3</v>
      </c>
      <c r="I460" s="2">
        <v>6.7999999999999996E-3</v>
      </c>
    </row>
    <row r="461" spans="1:9" x14ac:dyDescent="0.25">
      <c r="A461" s="3">
        <v>0.85340000000000005</v>
      </c>
      <c r="B461" s="2">
        <v>0.5786</v>
      </c>
      <c r="C461" s="2">
        <v>4.4999999999999998E-2</v>
      </c>
      <c r="D461" s="2">
        <v>0.20530000000000001</v>
      </c>
      <c r="E461" s="2">
        <v>4.4999999999999998E-2</v>
      </c>
      <c r="F461" s="2">
        <v>0.20680000000000001</v>
      </c>
      <c r="G461" s="2">
        <v>3.1099999999999999E-2</v>
      </c>
      <c r="H461" s="2">
        <v>9.2999999999999992E-3</v>
      </c>
      <c r="I461" s="2">
        <v>6.8999999999999999E-3</v>
      </c>
    </row>
    <row r="462" spans="1:9" x14ac:dyDescent="0.25">
      <c r="A462" s="3">
        <v>0.86</v>
      </c>
      <c r="B462" s="2">
        <v>0.57689999999999997</v>
      </c>
      <c r="C462" s="2">
        <v>4.58E-2</v>
      </c>
      <c r="D462" s="2">
        <v>0.20619999999999999</v>
      </c>
      <c r="E462" s="2">
        <v>4.5999999999999999E-2</v>
      </c>
      <c r="F462" s="2">
        <v>0.20780000000000001</v>
      </c>
      <c r="G462" s="2">
        <v>3.1699999999999999E-2</v>
      </c>
      <c r="H462" s="2">
        <v>9.1999999999999998E-3</v>
      </c>
      <c r="I462" s="2">
        <v>6.8999999999999999E-3</v>
      </c>
    </row>
    <row r="463" spans="1:9" x14ac:dyDescent="0.25">
      <c r="A463" s="3">
        <v>0.86660000000000004</v>
      </c>
      <c r="B463" s="2">
        <v>0.57520000000000004</v>
      </c>
      <c r="C463" s="2">
        <v>4.6600000000000003E-2</v>
      </c>
      <c r="D463" s="2">
        <v>0.20699999999999999</v>
      </c>
      <c r="E463" s="2">
        <v>4.6899999999999997E-2</v>
      </c>
      <c r="F463" s="2">
        <v>0.20880000000000001</v>
      </c>
      <c r="G463" s="2">
        <v>3.2300000000000002E-2</v>
      </c>
      <c r="H463" s="2">
        <v>9.1000000000000004E-3</v>
      </c>
      <c r="I463" s="2">
        <v>6.8999999999999999E-3</v>
      </c>
    </row>
    <row r="464" spans="1:9" x14ac:dyDescent="0.25">
      <c r="A464" s="3">
        <v>0.86680000000000001</v>
      </c>
      <c r="B464" s="2">
        <v>0.57509999999999994</v>
      </c>
      <c r="C464" s="2">
        <v>4.6699999999999998E-2</v>
      </c>
      <c r="D464" s="2">
        <v>0.20699999999999999</v>
      </c>
      <c r="E464" s="2">
        <v>4.6899999999999997E-2</v>
      </c>
      <c r="F464" s="2">
        <v>0.20880000000000001</v>
      </c>
      <c r="G464" s="2">
        <v>3.2300000000000002E-2</v>
      </c>
      <c r="H464" s="2">
        <v>9.1000000000000004E-3</v>
      </c>
      <c r="I464" s="2">
        <v>6.8999999999999999E-3</v>
      </c>
    </row>
    <row r="465" spans="1:9" x14ac:dyDescent="0.25">
      <c r="A465" s="3">
        <v>0.87</v>
      </c>
      <c r="B465" s="2">
        <v>0.57430000000000003</v>
      </c>
      <c r="C465" s="2">
        <v>4.7100000000000003E-2</v>
      </c>
      <c r="D465" s="2">
        <v>0.2074</v>
      </c>
      <c r="E465" s="2">
        <v>4.7399999999999998E-2</v>
      </c>
      <c r="F465" s="2">
        <v>0.20930000000000001</v>
      </c>
      <c r="G465" s="2">
        <v>3.2599999999999997E-2</v>
      </c>
      <c r="H465" s="2">
        <v>8.9999999999999993E-3</v>
      </c>
      <c r="I465" s="2">
        <v>7.0000000000000001E-3</v>
      </c>
    </row>
    <row r="466" spans="1:9" x14ac:dyDescent="0.25">
      <c r="A466" s="3">
        <v>0.88</v>
      </c>
      <c r="B466" s="2">
        <v>0.5716</v>
      </c>
      <c r="C466" s="2">
        <v>4.8300000000000003E-2</v>
      </c>
      <c r="D466" s="2">
        <v>0.2087</v>
      </c>
      <c r="E466" s="2">
        <v>4.8800000000000003E-2</v>
      </c>
      <c r="F466" s="2">
        <v>0.21079999999999999</v>
      </c>
      <c r="G466" s="2">
        <v>3.3500000000000002E-2</v>
      </c>
      <c r="H466" s="2">
        <v>8.8999999999999999E-3</v>
      </c>
      <c r="I466" s="2">
        <v>7.0000000000000001E-3</v>
      </c>
    </row>
    <row r="467" spans="1:9" x14ac:dyDescent="0.25">
      <c r="A467" s="3">
        <v>0.88339999999999996</v>
      </c>
      <c r="B467" s="2">
        <v>0.57069999999999999</v>
      </c>
      <c r="C467" s="2">
        <v>4.87E-2</v>
      </c>
      <c r="D467" s="2">
        <v>0.20910000000000001</v>
      </c>
      <c r="E467" s="2">
        <v>4.9299999999999997E-2</v>
      </c>
      <c r="F467" s="2">
        <v>0.2114</v>
      </c>
      <c r="G467" s="2">
        <v>3.3799999999999997E-2</v>
      </c>
      <c r="H467" s="2">
        <v>8.8000000000000005E-3</v>
      </c>
      <c r="I467" s="2">
        <v>7.0000000000000001E-3</v>
      </c>
    </row>
    <row r="468" spans="1:9" x14ac:dyDescent="0.25">
      <c r="A468" s="3">
        <v>0.89339999999999997</v>
      </c>
      <c r="B468" s="2">
        <v>0.56810000000000005</v>
      </c>
      <c r="C468" s="2">
        <v>4.99E-2</v>
      </c>
      <c r="D468" s="2">
        <v>0.21029999999999999</v>
      </c>
      <c r="E468" s="2">
        <v>5.0799999999999998E-2</v>
      </c>
      <c r="F468" s="2">
        <v>0.21290000000000001</v>
      </c>
      <c r="G468" s="2">
        <v>3.4799999999999998E-2</v>
      </c>
      <c r="H468" s="2">
        <v>8.6999999999999994E-3</v>
      </c>
      <c r="I468" s="2">
        <v>7.1000000000000004E-3</v>
      </c>
    </row>
    <row r="469" spans="1:9" x14ac:dyDescent="0.25">
      <c r="A469" s="3">
        <v>0.9</v>
      </c>
      <c r="B469" s="2">
        <v>0.56630000000000003</v>
      </c>
      <c r="C469" s="2">
        <v>5.0799999999999998E-2</v>
      </c>
      <c r="D469" s="2">
        <v>0.2112</v>
      </c>
      <c r="E469" s="2">
        <v>5.1799999999999999E-2</v>
      </c>
      <c r="F469" s="2">
        <v>0.21390000000000001</v>
      </c>
      <c r="G469" s="2">
        <v>3.5400000000000001E-2</v>
      </c>
      <c r="H469" s="2">
        <v>8.6E-3</v>
      </c>
      <c r="I469" s="2">
        <v>7.1000000000000004E-3</v>
      </c>
    </row>
    <row r="470" spans="1:9" x14ac:dyDescent="0.25">
      <c r="A470" s="3">
        <v>0.91</v>
      </c>
      <c r="B470" s="2">
        <v>0.56369999999999998</v>
      </c>
      <c r="C470" s="2">
        <v>5.1999999999999998E-2</v>
      </c>
      <c r="D470" s="2">
        <v>0.21240000000000001</v>
      </c>
      <c r="E470" s="2">
        <v>5.33E-2</v>
      </c>
      <c r="F470" s="2">
        <v>0.2155</v>
      </c>
      <c r="G470" s="2">
        <v>3.6299999999999999E-2</v>
      </c>
      <c r="H470" s="2">
        <v>8.3999999999999995E-3</v>
      </c>
      <c r="I470" s="2">
        <v>7.1000000000000004E-3</v>
      </c>
    </row>
    <row r="471" spans="1:9" x14ac:dyDescent="0.25">
      <c r="A471" s="3">
        <v>0.93340000000000001</v>
      </c>
      <c r="B471" s="2">
        <v>0.55740000000000001</v>
      </c>
      <c r="C471" s="2">
        <v>5.4899999999999997E-2</v>
      </c>
      <c r="D471" s="2">
        <v>0.21529999999999999</v>
      </c>
      <c r="E471" s="2">
        <v>5.6800000000000003E-2</v>
      </c>
      <c r="F471" s="2">
        <v>0.21920000000000001</v>
      </c>
      <c r="G471" s="2">
        <v>3.8600000000000002E-2</v>
      </c>
      <c r="H471" s="2">
        <v>8.0999999999999996E-3</v>
      </c>
      <c r="I471" s="2">
        <v>7.1999999999999998E-3</v>
      </c>
    </row>
    <row r="472" spans="1:9" x14ac:dyDescent="0.25">
      <c r="A472" s="3">
        <v>0.95</v>
      </c>
      <c r="B472" s="2">
        <v>0.55300000000000005</v>
      </c>
      <c r="C472" s="2">
        <v>5.7000000000000002E-2</v>
      </c>
      <c r="D472" s="2">
        <v>0.21740000000000001</v>
      </c>
      <c r="E472" s="2">
        <v>5.9400000000000001E-2</v>
      </c>
      <c r="F472" s="2">
        <v>0.2218</v>
      </c>
      <c r="G472" s="2">
        <v>4.0300000000000002E-2</v>
      </c>
      <c r="H472" s="2">
        <v>7.9000000000000008E-3</v>
      </c>
      <c r="I472" s="2">
        <v>7.3000000000000001E-3</v>
      </c>
    </row>
    <row r="473" spans="1:9" x14ac:dyDescent="0.25">
      <c r="A473" s="3">
        <v>0.96</v>
      </c>
      <c r="B473" s="2">
        <v>0.55030000000000001</v>
      </c>
      <c r="C473" s="2">
        <v>5.8299999999999998E-2</v>
      </c>
      <c r="D473" s="2">
        <v>0.21859999999999999</v>
      </c>
      <c r="E473" s="2">
        <v>6.0999999999999999E-2</v>
      </c>
      <c r="F473" s="2">
        <v>0.2233</v>
      </c>
      <c r="G473" s="2">
        <v>4.1300000000000003E-2</v>
      </c>
      <c r="H473" s="2">
        <v>7.7000000000000002E-3</v>
      </c>
      <c r="I473" s="2">
        <v>7.3000000000000001E-3</v>
      </c>
    </row>
    <row r="474" spans="1:9" x14ac:dyDescent="0.25">
      <c r="A474" s="3">
        <v>1</v>
      </c>
      <c r="B474" s="2">
        <v>0.53949999999999998</v>
      </c>
      <c r="C474" s="2">
        <v>6.3399999999999998E-2</v>
      </c>
      <c r="D474" s="2">
        <v>0.22359999999999999</v>
      </c>
      <c r="E474" s="2">
        <v>6.7299999999999999E-2</v>
      </c>
      <c r="F474" s="2">
        <v>0.22969999999999999</v>
      </c>
      <c r="G474" s="2">
        <v>4.5600000000000002E-2</v>
      </c>
      <c r="H474" s="2">
        <v>7.1999999999999998E-3</v>
      </c>
      <c r="I474" s="2">
        <v>7.4000000000000003E-3</v>
      </c>
    </row>
    <row r="475" spans="1:9" x14ac:dyDescent="0.25">
      <c r="A475" s="38"/>
      <c r="B475" s="39"/>
      <c r="C475" s="39"/>
      <c r="D475" s="39"/>
      <c r="E475" s="39"/>
      <c r="F475" s="39"/>
      <c r="G475" s="39"/>
      <c r="H475" s="39"/>
      <c r="I475" s="40"/>
    </row>
    <row r="476" spans="1:9" x14ac:dyDescent="0.25">
      <c r="A476" s="2"/>
      <c r="B476" s="35" t="s">
        <v>116</v>
      </c>
      <c r="C476" s="36"/>
      <c r="D476" s="36"/>
      <c r="E476" s="36"/>
      <c r="F476" s="36"/>
      <c r="G476" s="36"/>
      <c r="H476" s="36"/>
      <c r="I476" s="37"/>
    </row>
    <row r="477" spans="1:9" x14ac:dyDescent="0.25">
      <c r="A477" s="3" t="s">
        <v>110</v>
      </c>
      <c r="B477" s="3" t="s">
        <v>88</v>
      </c>
      <c r="C477" s="3" t="s">
        <v>105</v>
      </c>
      <c r="D477" s="3" t="s">
        <v>90</v>
      </c>
      <c r="E477" s="3" t="s">
        <v>105</v>
      </c>
      <c r="F477" s="3" t="s">
        <v>91</v>
      </c>
      <c r="G477" s="3" t="s">
        <v>105</v>
      </c>
      <c r="H477" s="3" t="s">
        <v>92</v>
      </c>
      <c r="I477" s="3" t="s">
        <v>105</v>
      </c>
    </row>
    <row r="478" spans="1:9" x14ac:dyDescent="0.25">
      <c r="A478" s="3">
        <v>1</v>
      </c>
      <c r="B478" s="2">
        <v>0.95289999999999997</v>
      </c>
      <c r="C478" s="2" t="s">
        <v>11</v>
      </c>
      <c r="D478" s="2">
        <v>3.7100000000000001E-2</v>
      </c>
      <c r="E478" s="2" t="s">
        <v>11</v>
      </c>
      <c r="F478" s="2">
        <v>9.4999999999999998E-3</v>
      </c>
      <c r="G478" s="2" t="s">
        <v>11</v>
      </c>
      <c r="H478" s="2">
        <v>5.0000000000000001E-4</v>
      </c>
      <c r="I478" s="2" t="s">
        <v>11</v>
      </c>
    </row>
    <row r="479" spans="1:9" x14ac:dyDescent="0.25">
      <c r="A479" s="3">
        <v>2</v>
      </c>
      <c r="B479" s="2">
        <v>0.1469</v>
      </c>
      <c r="C479" s="2" t="s">
        <v>11</v>
      </c>
      <c r="D479" s="2">
        <v>0.80220000000000002</v>
      </c>
      <c r="E479" s="2" t="s">
        <v>11</v>
      </c>
      <c r="F479" s="2">
        <v>5.0700000000000002E-2</v>
      </c>
      <c r="G479" s="2" t="s">
        <v>11</v>
      </c>
      <c r="H479" s="2">
        <v>2.0000000000000001E-4</v>
      </c>
      <c r="I479" s="2" t="s">
        <v>11</v>
      </c>
    </row>
    <row r="480" spans="1:9" x14ac:dyDescent="0.25">
      <c r="A480" s="3">
        <v>3</v>
      </c>
      <c r="B480" s="2">
        <v>3.8800000000000001E-2</v>
      </c>
      <c r="C480" s="2" t="s">
        <v>11</v>
      </c>
      <c r="D480" s="2">
        <v>5.2499999999999998E-2</v>
      </c>
      <c r="E480" s="2" t="s">
        <v>11</v>
      </c>
      <c r="F480" s="2">
        <v>0.90569999999999995</v>
      </c>
      <c r="G480" s="2" t="s">
        <v>11</v>
      </c>
      <c r="H480" s="2">
        <v>3.0000000000000001E-3</v>
      </c>
      <c r="I480" s="2" t="s">
        <v>11</v>
      </c>
    </row>
    <row r="481" spans="1:9" x14ac:dyDescent="0.25">
      <c r="A481" s="3">
        <v>4</v>
      </c>
      <c r="B481" s="2">
        <v>1.9400000000000001E-2</v>
      </c>
      <c r="C481" s="2" t="s">
        <v>11</v>
      </c>
      <c r="D481" s="2">
        <v>2E-3</v>
      </c>
      <c r="E481" s="2" t="s">
        <v>11</v>
      </c>
      <c r="F481" s="2">
        <v>2.9399999999999999E-2</v>
      </c>
      <c r="G481" s="2" t="s">
        <v>11</v>
      </c>
      <c r="H481" s="2">
        <v>0.94920000000000004</v>
      </c>
      <c r="I481" s="2" t="s">
        <v>11</v>
      </c>
    </row>
  </sheetData>
  <mergeCells count="5">
    <mergeCell ref="A3:F3"/>
    <mergeCell ref="B69:F69"/>
    <mergeCell ref="B218:I218"/>
    <mergeCell ref="A475:I475"/>
    <mergeCell ref="B476:I476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P291"/>
  <sheetViews>
    <sheetView workbookViewId="0">
      <selection activeCell="P160" sqref="P160"/>
    </sheetView>
  </sheetViews>
  <sheetFormatPr defaultColWidth="36.28515625" defaultRowHeight="15" x14ac:dyDescent="0.25"/>
  <cols>
    <col min="1" max="1" width="34.1406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7.5703125" bestFit="1" customWidth="1"/>
    <col min="15" max="15" width="8.42578125" bestFit="1" customWidth="1"/>
  </cols>
  <sheetData>
    <row r="1" spans="1:6" ht="31.5" customHeight="1" x14ac:dyDescent="0.25">
      <c r="A1" s="1" t="s">
        <v>194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13272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13.7949</v>
      </c>
      <c r="C7" s="2"/>
      <c r="D7" s="2"/>
      <c r="E7" s="2"/>
      <c r="F7" s="2"/>
    </row>
    <row r="8" spans="1:6" x14ac:dyDescent="0.25">
      <c r="A8" s="3" t="s">
        <v>4</v>
      </c>
      <c r="B8" s="2">
        <v>13.7949</v>
      </c>
      <c r="C8" s="2"/>
      <c r="D8" s="2"/>
      <c r="E8" s="2"/>
      <c r="F8" s="2"/>
    </row>
    <row r="9" spans="1:6" x14ac:dyDescent="0.25">
      <c r="A9" s="3" t="s">
        <v>5</v>
      </c>
      <c r="B9" s="2">
        <v>455577</v>
      </c>
      <c r="C9" s="2"/>
      <c r="D9" s="2"/>
      <c r="E9" s="2"/>
      <c r="F9" s="2"/>
    </row>
    <row r="10" spans="1:6" x14ac:dyDescent="0.25">
      <c r="A10" s="3" t="s">
        <v>6</v>
      </c>
      <c r="B10" s="2">
        <v>455577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189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1811.9237000000001</v>
      </c>
      <c r="C14" s="4">
        <v>1.0999999999999999E-262</v>
      </c>
      <c r="D14" s="2"/>
      <c r="E14" s="2"/>
      <c r="F14" s="2"/>
    </row>
    <row r="15" spans="1:6" x14ac:dyDescent="0.25">
      <c r="A15" s="3" t="s">
        <v>12</v>
      </c>
      <c r="B15" s="2">
        <v>2212.2359999999999</v>
      </c>
      <c r="C15" s="4" t="s">
        <v>195</v>
      </c>
      <c r="D15" s="2"/>
      <c r="E15" s="2"/>
      <c r="F15" s="2"/>
    </row>
    <row r="16" spans="1:6" x14ac:dyDescent="0.25">
      <c r="A16" s="3" t="s">
        <v>13</v>
      </c>
      <c r="B16" s="2">
        <v>1954.2782999999999</v>
      </c>
      <c r="C16" s="4">
        <v>1.5E-290</v>
      </c>
      <c r="D16" s="2"/>
      <c r="E16" s="2"/>
      <c r="F16" s="2"/>
    </row>
    <row r="17" spans="1:6" x14ac:dyDescent="0.25">
      <c r="A17" s="3" t="s">
        <v>14</v>
      </c>
      <c r="B17" s="2">
        <v>17.668900000000001</v>
      </c>
      <c r="C17" s="2"/>
      <c r="D17" s="2"/>
      <c r="E17" s="2"/>
      <c r="F17" s="2"/>
    </row>
    <row r="18" spans="1:6" x14ac:dyDescent="0.25">
      <c r="A18" s="3" t="s">
        <v>15</v>
      </c>
      <c r="B18" s="2">
        <v>1433.9237000000001</v>
      </c>
      <c r="C18" s="2"/>
      <c r="D18" s="2"/>
      <c r="E18" s="2"/>
      <c r="F18" s="2"/>
    </row>
    <row r="19" spans="1:6" x14ac:dyDescent="0.25">
      <c r="A19" s="3" t="s">
        <v>16</v>
      </c>
      <c r="B19" s="2">
        <v>1244.9237000000001</v>
      </c>
      <c r="C19" s="2"/>
      <c r="D19" s="2"/>
      <c r="E19" s="2"/>
      <c r="F19" s="2"/>
    </row>
    <row r="20" spans="1:6" x14ac:dyDescent="0.25">
      <c r="A20" s="3" t="s">
        <v>17</v>
      </c>
      <c r="B20" s="2">
        <v>-171.33109999999999</v>
      </c>
      <c r="C20" s="2"/>
      <c r="D20" s="2"/>
      <c r="E20" s="2"/>
      <c r="F20" s="2"/>
    </row>
    <row r="21" spans="1:6" x14ac:dyDescent="0.25">
      <c r="A21" s="3" t="s">
        <v>18</v>
      </c>
      <c r="B21" s="2">
        <v>618.29259999999999</v>
      </c>
      <c r="C21" s="2"/>
      <c r="D21" s="2"/>
      <c r="E21" s="2"/>
      <c r="F21" s="2"/>
    </row>
    <row r="22" spans="1:6" x14ac:dyDescent="0.25">
      <c r="A22" s="3" t="s">
        <v>19</v>
      </c>
      <c r="B22" s="2">
        <v>0.115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-12404.565699999999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-12404.565699999999</v>
      </c>
      <c r="C27" s="2"/>
      <c r="D27" s="2"/>
      <c r="E27" s="2"/>
      <c r="F27" s="2"/>
    </row>
    <row r="28" spans="1:6" x14ac:dyDescent="0.25">
      <c r="A28" s="3" t="s">
        <v>24</v>
      </c>
      <c r="B28" s="2">
        <v>24866.091899999999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24821.131399999998</v>
      </c>
      <c r="C29" s="2"/>
      <c r="D29" s="2"/>
      <c r="E29" s="2"/>
      <c r="F29" s="2"/>
    </row>
    <row r="30" spans="1:6" x14ac:dyDescent="0.25">
      <c r="A30" s="3" t="s">
        <v>26</v>
      </c>
      <c r="B30" s="2">
        <v>24827.131399999998</v>
      </c>
      <c r="C30" s="2"/>
      <c r="D30" s="2"/>
      <c r="E30" s="2"/>
      <c r="F30" s="2"/>
    </row>
    <row r="31" spans="1:6" x14ac:dyDescent="0.25">
      <c r="A31" s="3" t="s">
        <v>27</v>
      </c>
      <c r="B31" s="2">
        <v>24872.091899999999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24847.0245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0.34320000000000001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1.8E-3</v>
      </c>
      <c r="C38" s="2"/>
      <c r="D38" s="2"/>
      <c r="E38" s="2"/>
      <c r="F38" s="2"/>
    </row>
    <row r="39" spans="1:6" x14ac:dyDescent="0.25">
      <c r="A39" s="3" t="s">
        <v>33</v>
      </c>
      <c r="B39" s="2">
        <v>1.6999999999999999E-3</v>
      </c>
      <c r="C39" s="2"/>
      <c r="D39" s="2"/>
      <c r="E39" s="2"/>
      <c r="F39" s="2"/>
    </row>
    <row r="40" spans="1:6" x14ac:dyDescent="0.25">
      <c r="A40" s="3" t="s">
        <v>34</v>
      </c>
      <c r="B40" s="2">
        <v>-24803.481899999999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12398.9161</v>
      </c>
      <c r="C41" s="2"/>
      <c r="D41" s="2"/>
      <c r="E41" s="2"/>
      <c r="F41" s="2"/>
    </row>
    <row r="42" spans="1:6" x14ac:dyDescent="0.25">
      <c r="A42" s="3" t="s">
        <v>36</v>
      </c>
      <c r="B42" s="2">
        <v>49606.9637</v>
      </c>
      <c r="C42" s="2"/>
      <c r="D42" s="2"/>
      <c r="E42" s="2"/>
      <c r="F42" s="2"/>
    </row>
    <row r="43" spans="1:6" x14ac:dyDescent="0.25">
      <c r="A43" s="3" t="s">
        <v>37</v>
      </c>
      <c r="B43" s="2">
        <v>49738.884700000002</v>
      </c>
      <c r="C43" s="2"/>
      <c r="D43" s="2"/>
      <c r="E43" s="2"/>
      <c r="F43" s="2"/>
    </row>
    <row r="44" spans="1:6" x14ac:dyDescent="0.25">
      <c r="A44" s="3" t="s">
        <v>38</v>
      </c>
      <c r="B44" s="2">
        <v>49663.924200000001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8717.6057999999994</v>
      </c>
      <c r="C48" s="2">
        <v>0</v>
      </c>
      <c r="D48" s="2">
        <v>0</v>
      </c>
      <c r="E48" s="2">
        <v>0</v>
      </c>
      <c r="F48" s="2">
        <v>8717.6057999999994</v>
      </c>
    </row>
    <row r="49" spans="1:6" x14ac:dyDescent="0.25">
      <c r="A49" s="3" t="s">
        <v>43</v>
      </c>
      <c r="B49" s="2">
        <v>2217.4546999999998</v>
      </c>
      <c r="C49" s="2">
        <v>0</v>
      </c>
      <c r="D49" s="2">
        <v>0</v>
      </c>
      <c r="E49" s="2">
        <v>0</v>
      </c>
      <c r="F49" s="2">
        <v>2217.4546999999998</v>
      </c>
    </row>
    <row r="50" spans="1:6" x14ac:dyDescent="0.25">
      <c r="A50" s="3" t="s">
        <v>44</v>
      </c>
      <c r="B50" s="2">
        <v>2116.3442</v>
      </c>
      <c r="C50" s="2">
        <v>0</v>
      </c>
      <c r="D50" s="2">
        <v>0</v>
      </c>
      <c r="E50" s="2">
        <v>0</v>
      </c>
      <c r="F50" s="2">
        <v>2116.3442</v>
      </c>
    </row>
    <row r="51" spans="1:6" x14ac:dyDescent="0.25">
      <c r="A51" s="3" t="s">
        <v>45</v>
      </c>
      <c r="B51" s="2">
        <v>220.59530000000001</v>
      </c>
      <c r="C51" s="2">
        <v>0</v>
      </c>
      <c r="D51" s="2">
        <v>0</v>
      </c>
      <c r="E51" s="2">
        <v>0</v>
      </c>
      <c r="F51" s="2">
        <v>220.59530000000001</v>
      </c>
    </row>
    <row r="52" spans="1:6" x14ac:dyDescent="0.25">
      <c r="A52" s="3" t="s">
        <v>46</v>
      </c>
      <c r="B52" s="2">
        <v>13272</v>
      </c>
      <c r="C52" s="2">
        <v>0</v>
      </c>
      <c r="D52" s="2">
        <v>0</v>
      </c>
      <c r="E52" s="2">
        <v>0</v>
      </c>
      <c r="F52" s="2">
        <v>13272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5732.5402000000004</v>
      </c>
      <c r="C56" s="2">
        <v>1451.2203</v>
      </c>
      <c r="D56" s="2">
        <v>1388.2307000000001</v>
      </c>
      <c r="E56" s="2">
        <v>145.61449999999999</v>
      </c>
      <c r="F56" s="2">
        <v>8717.6057999999994</v>
      </c>
    </row>
    <row r="57" spans="1:6" x14ac:dyDescent="0.25">
      <c r="A57" s="3" t="s">
        <v>43</v>
      </c>
      <c r="B57" s="2">
        <v>1451.2203</v>
      </c>
      <c r="C57" s="2">
        <v>374.83629999999999</v>
      </c>
      <c r="D57" s="2">
        <v>355.13069999999999</v>
      </c>
      <c r="E57" s="2">
        <v>36.267400000000002</v>
      </c>
      <c r="F57" s="2">
        <v>2217.4546999999998</v>
      </c>
    </row>
    <row r="58" spans="1:6" x14ac:dyDescent="0.25">
      <c r="A58" s="3" t="s">
        <v>44</v>
      </c>
      <c r="B58" s="2">
        <v>1388.2307000000001</v>
      </c>
      <c r="C58" s="2">
        <v>355.13069999999999</v>
      </c>
      <c r="D58" s="2">
        <v>338.017</v>
      </c>
      <c r="E58" s="2">
        <v>34.965800000000002</v>
      </c>
      <c r="F58" s="2">
        <v>2116.3442</v>
      </c>
    </row>
    <row r="59" spans="1:6" x14ac:dyDescent="0.25">
      <c r="A59" s="3" t="s">
        <v>45</v>
      </c>
      <c r="B59" s="2">
        <v>145.61449999999999</v>
      </c>
      <c r="C59" s="2">
        <v>36.267400000000002</v>
      </c>
      <c r="D59" s="2">
        <v>34.965800000000002</v>
      </c>
      <c r="E59" s="2">
        <v>3.7475999999999998</v>
      </c>
      <c r="F59" s="2">
        <v>220.59530000000001</v>
      </c>
    </row>
    <row r="60" spans="1:6" x14ac:dyDescent="0.25">
      <c r="A60" s="3" t="s">
        <v>46</v>
      </c>
      <c r="B60" s="2">
        <v>8717.6057999999994</v>
      </c>
      <c r="C60" s="2">
        <v>2217.4546999999998</v>
      </c>
      <c r="D60" s="2">
        <v>2116.3442</v>
      </c>
      <c r="E60" s="2">
        <v>220.59530000000001</v>
      </c>
      <c r="F60" s="2">
        <v>13272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0.34320000000000001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1.8E-3</v>
      </c>
      <c r="C65" s="2"/>
      <c r="D65" s="2"/>
      <c r="E65" s="2"/>
      <c r="F65" s="2"/>
    </row>
    <row r="66" spans="1:6" x14ac:dyDescent="0.25">
      <c r="A66" s="3" t="s">
        <v>33</v>
      </c>
      <c r="B66" s="2">
        <v>1.6999999999999999E-3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455577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13272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710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710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710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710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196</v>
      </c>
      <c r="B140" s="2" t="s">
        <v>127</v>
      </c>
      <c r="C140" s="2">
        <v>65</v>
      </c>
      <c r="D140" s="2"/>
      <c r="E140" s="2"/>
      <c r="F140" s="2"/>
    </row>
    <row r="141" spans="1:6" x14ac:dyDescent="0.25">
      <c r="A141" s="3" t="s">
        <v>197</v>
      </c>
      <c r="B141" s="2">
        <v>1</v>
      </c>
      <c r="C141" s="2">
        <v>1</v>
      </c>
      <c r="D141" s="2"/>
      <c r="E141" s="2"/>
      <c r="F141" s="2"/>
    </row>
    <row r="142" spans="1:6" x14ac:dyDescent="0.25">
      <c r="A142" s="3">
        <v>2</v>
      </c>
      <c r="B142" s="2">
        <v>2</v>
      </c>
      <c r="C142" s="2">
        <v>2</v>
      </c>
      <c r="D142" s="2"/>
      <c r="E142" s="2"/>
      <c r="F142" s="2"/>
    </row>
    <row r="143" spans="1:6" x14ac:dyDescent="0.25">
      <c r="A143" s="3">
        <v>3</v>
      </c>
      <c r="B143" s="2">
        <v>3</v>
      </c>
      <c r="C143" s="2">
        <v>3</v>
      </c>
      <c r="D143" s="2"/>
      <c r="E143" s="2"/>
      <c r="F143" s="2"/>
    </row>
    <row r="144" spans="1:6" x14ac:dyDescent="0.25">
      <c r="A144" s="3">
        <v>4</v>
      </c>
      <c r="B144" s="2">
        <v>4</v>
      </c>
      <c r="C144" s="2">
        <v>4</v>
      </c>
      <c r="D144" s="2"/>
      <c r="E144" s="2"/>
      <c r="F144" s="2"/>
    </row>
    <row r="145" spans="1:6" x14ac:dyDescent="0.25">
      <c r="A145" s="3">
        <v>5</v>
      </c>
      <c r="B145" s="2">
        <v>5</v>
      </c>
      <c r="C145" s="2">
        <v>5</v>
      </c>
      <c r="D145" s="2"/>
      <c r="E145" s="2"/>
      <c r="F145" s="2"/>
    </row>
    <row r="146" spans="1:6" x14ac:dyDescent="0.25">
      <c r="A146" s="3">
        <v>6</v>
      </c>
      <c r="B146" s="2">
        <v>6</v>
      </c>
      <c r="C146" s="2">
        <v>6</v>
      </c>
      <c r="D146" s="2"/>
      <c r="E146" s="2"/>
      <c r="F146" s="2"/>
    </row>
    <row r="147" spans="1:6" x14ac:dyDescent="0.25">
      <c r="A147" s="3">
        <v>7</v>
      </c>
      <c r="B147" s="2">
        <v>7</v>
      </c>
      <c r="C147" s="2">
        <v>7</v>
      </c>
      <c r="D147" s="2"/>
      <c r="E147" s="2"/>
      <c r="F147" s="2"/>
    </row>
    <row r="148" spans="1:6" x14ac:dyDescent="0.25">
      <c r="A148" s="3">
        <v>8</v>
      </c>
      <c r="B148" s="2">
        <v>8</v>
      </c>
      <c r="C148" s="2">
        <v>8</v>
      </c>
      <c r="D148" s="2"/>
      <c r="E148" s="2"/>
      <c r="F148" s="2"/>
    </row>
    <row r="149" spans="1:6" x14ac:dyDescent="0.25">
      <c r="A149" s="3">
        <v>9</v>
      </c>
      <c r="B149" s="2">
        <v>9</v>
      </c>
      <c r="C149" s="2">
        <v>9</v>
      </c>
      <c r="D149" s="2"/>
      <c r="E149" s="2"/>
      <c r="F149" s="2"/>
    </row>
    <row r="150" spans="1:6" x14ac:dyDescent="0.25">
      <c r="A150" s="3">
        <v>10</v>
      </c>
      <c r="B150" s="2">
        <v>10</v>
      </c>
      <c r="C150" s="2">
        <v>10</v>
      </c>
      <c r="D150" s="2"/>
      <c r="E150" s="2"/>
      <c r="F150" s="2"/>
    </row>
    <row r="151" spans="1:6" x14ac:dyDescent="0.25">
      <c r="A151" s="3" t="s">
        <v>89</v>
      </c>
      <c r="B151" s="2"/>
      <c r="C151" s="2"/>
      <c r="D151" s="2"/>
      <c r="E151" s="2"/>
      <c r="F151" s="2"/>
    </row>
    <row r="152" spans="1:6" x14ac:dyDescent="0.25">
      <c r="A152" s="3">
        <v>57</v>
      </c>
      <c r="B152" s="2">
        <v>57</v>
      </c>
      <c r="C152" s="2">
        <v>57</v>
      </c>
      <c r="D152" s="2"/>
      <c r="E152" s="2"/>
      <c r="F152" s="2"/>
    </row>
    <row r="153" spans="1:6" x14ac:dyDescent="0.25">
      <c r="A153" s="3">
        <v>58</v>
      </c>
      <c r="B153" s="2">
        <v>58</v>
      </c>
      <c r="C153" s="2">
        <v>58</v>
      </c>
      <c r="D153" s="2"/>
      <c r="E153" s="2"/>
      <c r="F153" s="2"/>
    </row>
    <row r="154" spans="1:6" x14ac:dyDescent="0.25">
      <c r="A154" s="3">
        <v>60</v>
      </c>
      <c r="B154" s="2">
        <v>60</v>
      </c>
      <c r="C154" s="2">
        <v>60</v>
      </c>
      <c r="D154" s="2"/>
      <c r="E154" s="2"/>
      <c r="F154" s="2"/>
    </row>
    <row r="155" spans="1:6" x14ac:dyDescent="0.25">
      <c r="A155" s="3">
        <v>61</v>
      </c>
      <c r="B155" s="2">
        <v>61</v>
      </c>
      <c r="C155" s="2">
        <v>61</v>
      </c>
      <c r="D155" s="2"/>
      <c r="E155" s="2"/>
      <c r="F155" s="2"/>
    </row>
    <row r="156" spans="1:6" x14ac:dyDescent="0.25">
      <c r="A156" s="3">
        <v>62</v>
      </c>
      <c r="B156" s="2">
        <v>62</v>
      </c>
      <c r="C156" s="2">
        <v>62</v>
      </c>
      <c r="D156" s="2"/>
      <c r="E156" s="2"/>
      <c r="F156" s="2"/>
    </row>
    <row r="157" spans="1:6" x14ac:dyDescent="0.25">
      <c r="A157" s="3">
        <v>64</v>
      </c>
      <c r="B157" s="2">
        <v>64</v>
      </c>
      <c r="C157" s="2">
        <v>64</v>
      </c>
      <c r="D157" s="2"/>
      <c r="E157" s="2"/>
      <c r="F157" s="2"/>
    </row>
    <row r="158" spans="1:6" x14ac:dyDescent="0.25">
      <c r="A158" s="3">
        <v>65</v>
      </c>
      <c r="B158" s="2">
        <v>65</v>
      </c>
      <c r="C158" s="2">
        <v>65</v>
      </c>
      <c r="D158" s="2"/>
      <c r="E158" s="2"/>
      <c r="F158" s="2"/>
    </row>
    <row r="159" spans="1:6" x14ac:dyDescent="0.25">
      <c r="A159" s="3">
        <v>67</v>
      </c>
      <c r="B159" s="2">
        <v>67</v>
      </c>
      <c r="C159" s="2">
        <v>67</v>
      </c>
      <c r="D159" s="2"/>
      <c r="E159" s="2"/>
      <c r="F159" s="2"/>
    </row>
    <row r="160" spans="1:6" x14ac:dyDescent="0.25">
      <c r="A160" s="3">
        <v>69</v>
      </c>
      <c r="B160" s="2">
        <v>69</v>
      </c>
      <c r="C160" s="2">
        <v>69</v>
      </c>
      <c r="D160" s="2"/>
      <c r="E160" s="2"/>
      <c r="F160" s="2"/>
    </row>
    <row r="162" spans="1:16" ht="18.75" x14ac:dyDescent="0.25">
      <c r="A162" s="1" t="s">
        <v>102</v>
      </c>
    </row>
    <row r="164" spans="1:16" x14ac:dyDescent="0.25">
      <c r="A164" s="3" t="s">
        <v>103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28.5" x14ac:dyDescent="0.25">
      <c r="A165" s="3" t="s">
        <v>104</v>
      </c>
      <c r="B165" s="3" t="s">
        <v>42</v>
      </c>
      <c r="C165" s="3" t="s">
        <v>105</v>
      </c>
      <c r="D165" s="3" t="s">
        <v>123</v>
      </c>
      <c r="E165" s="3" t="s">
        <v>43</v>
      </c>
      <c r="F165" s="3" t="s">
        <v>105</v>
      </c>
      <c r="G165" s="3" t="s">
        <v>123</v>
      </c>
      <c r="H165" s="3" t="s">
        <v>44</v>
      </c>
      <c r="I165" s="3" t="s">
        <v>105</v>
      </c>
      <c r="J165" s="3" t="s">
        <v>123</v>
      </c>
      <c r="K165" s="3" t="s">
        <v>45</v>
      </c>
      <c r="L165" s="3" t="s">
        <v>105</v>
      </c>
      <c r="M165" s="3" t="s">
        <v>123</v>
      </c>
      <c r="N165" s="3" t="s">
        <v>106</v>
      </c>
      <c r="O165" s="3" t="s">
        <v>9</v>
      </c>
      <c r="P165" s="2"/>
    </row>
    <row r="166" spans="1:16" x14ac:dyDescent="0.25">
      <c r="A166" s="3"/>
      <c r="B166" s="2">
        <v>1.5669</v>
      </c>
      <c r="C166" s="2">
        <v>0.1668</v>
      </c>
      <c r="D166" s="2">
        <v>9.3932000000000002</v>
      </c>
      <c r="E166" s="2">
        <v>0.47260000000000002</v>
      </c>
      <c r="F166" s="2">
        <v>0.21440000000000001</v>
      </c>
      <c r="G166" s="2">
        <v>2.2044999999999999</v>
      </c>
      <c r="H166" s="2">
        <v>0.29430000000000001</v>
      </c>
      <c r="I166" s="2">
        <v>0.21659999999999999</v>
      </c>
      <c r="J166" s="2">
        <v>1.3592</v>
      </c>
      <c r="K166" s="2">
        <v>-2.3338999999999999</v>
      </c>
      <c r="L166" s="2">
        <v>0.41060000000000002</v>
      </c>
      <c r="M166" s="2">
        <v>-5.6841999999999997</v>
      </c>
      <c r="N166" s="2">
        <v>90.347399999999993</v>
      </c>
      <c r="O166" s="4">
        <v>1.8000000000000001E-19</v>
      </c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28.5" x14ac:dyDescent="0.25">
      <c r="A168" s="3" t="s">
        <v>107</v>
      </c>
      <c r="B168" s="3" t="s">
        <v>42</v>
      </c>
      <c r="C168" s="3" t="s">
        <v>105</v>
      </c>
      <c r="D168" s="3" t="s">
        <v>123</v>
      </c>
      <c r="E168" s="3" t="s">
        <v>43</v>
      </c>
      <c r="F168" s="3" t="s">
        <v>105</v>
      </c>
      <c r="G168" s="3" t="s">
        <v>123</v>
      </c>
      <c r="H168" s="3" t="s">
        <v>44</v>
      </c>
      <c r="I168" s="3" t="s">
        <v>105</v>
      </c>
      <c r="J168" s="3" t="s">
        <v>123</v>
      </c>
      <c r="K168" s="3" t="s">
        <v>45</v>
      </c>
      <c r="L168" s="3" t="s">
        <v>105</v>
      </c>
      <c r="M168" s="3" t="s">
        <v>123</v>
      </c>
      <c r="N168" s="3" t="s">
        <v>106</v>
      </c>
      <c r="O168" s="3" t="s">
        <v>9</v>
      </c>
      <c r="P168" s="2"/>
    </row>
    <row r="169" spans="1:16" x14ac:dyDescent="0.25">
      <c r="A169" s="3" t="s">
        <v>196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>
        <v>2.2000000000000001E-3</v>
      </c>
      <c r="C170" s="2">
        <v>5.4999999999999997E-3</v>
      </c>
      <c r="D170" s="2">
        <v>0.39550000000000002</v>
      </c>
      <c r="E170" s="2">
        <v>-9.4000000000000004E-3</v>
      </c>
      <c r="F170" s="2">
        <v>7.3000000000000001E-3</v>
      </c>
      <c r="G170" s="2">
        <v>-1.2857000000000001</v>
      </c>
      <c r="H170" s="2">
        <v>-3.8E-3</v>
      </c>
      <c r="I170" s="2">
        <v>7.7999999999999996E-3</v>
      </c>
      <c r="J170" s="2">
        <v>-0.48080000000000001</v>
      </c>
      <c r="K170" s="2">
        <v>1.0999999999999999E-2</v>
      </c>
      <c r="L170" s="2">
        <v>1.2200000000000001E-2</v>
      </c>
      <c r="M170" s="2">
        <v>0.90010000000000001</v>
      </c>
      <c r="N170" s="2">
        <v>2.5442</v>
      </c>
      <c r="O170" s="2">
        <v>0.47</v>
      </c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8.75" x14ac:dyDescent="0.25">
      <c r="A173" s="1" t="s">
        <v>108</v>
      </c>
    </row>
    <row r="175" spans="1:16" x14ac:dyDescent="0.25">
      <c r="A175" s="3" t="s">
        <v>103</v>
      </c>
      <c r="B175" s="3"/>
      <c r="C175" s="3"/>
      <c r="D175" s="3" t="s">
        <v>106</v>
      </c>
      <c r="E175" s="3" t="s">
        <v>109</v>
      </c>
      <c r="F175" s="3" t="s">
        <v>9</v>
      </c>
    </row>
    <row r="176" spans="1:16" x14ac:dyDescent="0.25">
      <c r="A176" s="3" t="s">
        <v>104</v>
      </c>
      <c r="B176" s="2"/>
      <c r="C176" s="2"/>
      <c r="D176" s="2"/>
      <c r="E176" s="2"/>
      <c r="F176" s="2"/>
    </row>
    <row r="177" spans="1:6" x14ac:dyDescent="0.25">
      <c r="A177" s="3" t="s">
        <v>110</v>
      </c>
      <c r="B177" s="3">
        <v>1</v>
      </c>
      <c r="C177" s="3">
        <v>2</v>
      </c>
      <c r="D177" s="2">
        <v>23.314699999999998</v>
      </c>
      <c r="E177" s="2">
        <v>1</v>
      </c>
      <c r="F177" s="4">
        <v>1.3999999999999999E-6</v>
      </c>
    </row>
    <row r="178" spans="1:6" x14ac:dyDescent="0.25">
      <c r="A178" s="3" t="s">
        <v>110</v>
      </c>
      <c r="B178" s="3">
        <v>1</v>
      </c>
      <c r="C178" s="3">
        <v>3</v>
      </c>
      <c r="D178" s="2">
        <v>29.2835</v>
      </c>
      <c r="E178" s="2">
        <v>1</v>
      </c>
      <c r="F178" s="4">
        <v>6.2999999999999995E-8</v>
      </c>
    </row>
    <row r="179" spans="1:6" x14ac:dyDescent="0.25">
      <c r="A179" s="3" t="s">
        <v>110</v>
      </c>
      <c r="B179" s="3">
        <v>1</v>
      </c>
      <c r="C179" s="3">
        <v>4</v>
      </c>
      <c r="D179" s="2">
        <v>51.770400000000002</v>
      </c>
      <c r="E179" s="2">
        <v>1</v>
      </c>
      <c r="F179" s="4">
        <v>6.1999999999999998E-13</v>
      </c>
    </row>
    <row r="180" spans="1:6" x14ac:dyDescent="0.25">
      <c r="A180" s="3" t="s">
        <v>110</v>
      </c>
      <c r="B180" s="3">
        <v>2</v>
      </c>
      <c r="C180" s="3">
        <v>3</v>
      </c>
      <c r="D180" s="2">
        <v>0.36620000000000003</v>
      </c>
      <c r="E180" s="2">
        <v>1</v>
      </c>
      <c r="F180" s="2">
        <v>0.55000000000000004</v>
      </c>
    </row>
    <row r="181" spans="1:6" x14ac:dyDescent="0.25">
      <c r="A181" s="3" t="s">
        <v>110</v>
      </c>
      <c r="B181" s="3">
        <v>2</v>
      </c>
      <c r="C181" s="3">
        <v>4</v>
      </c>
      <c r="D181" s="2">
        <v>23.515000000000001</v>
      </c>
      <c r="E181" s="2">
        <v>1</v>
      </c>
      <c r="F181" s="4">
        <v>1.1999999999999999E-6</v>
      </c>
    </row>
    <row r="182" spans="1:6" x14ac:dyDescent="0.25">
      <c r="A182" s="3" t="s">
        <v>110</v>
      </c>
      <c r="B182" s="3">
        <v>3</v>
      </c>
      <c r="C182" s="3">
        <v>4</v>
      </c>
      <c r="D182" s="2">
        <v>20.635400000000001</v>
      </c>
      <c r="E182" s="2">
        <v>1</v>
      </c>
      <c r="F182" s="4">
        <v>5.5999999999999997E-6</v>
      </c>
    </row>
    <row r="183" spans="1:6" x14ac:dyDescent="0.25">
      <c r="A183" s="3" t="s">
        <v>196</v>
      </c>
      <c r="B183" s="2"/>
      <c r="C183" s="2"/>
      <c r="D183" s="2"/>
      <c r="E183" s="2"/>
      <c r="F183" s="2"/>
    </row>
    <row r="184" spans="1:6" x14ac:dyDescent="0.25">
      <c r="A184" s="3" t="s">
        <v>110</v>
      </c>
      <c r="B184" s="3">
        <v>1</v>
      </c>
      <c r="C184" s="3">
        <v>2</v>
      </c>
      <c r="D184" s="2">
        <v>1.9149</v>
      </c>
      <c r="E184" s="2">
        <v>1</v>
      </c>
      <c r="F184" s="2">
        <v>0.17</v>
      </c>
    </row>
    <row r="185" spans="1:6" x14ac:dyDescent="0.25">
      <c r="A185" s="3" t="s">
        <v>110</v>
      </c>
      <c r="B185" s="3">
        <v>1</v>
      </c>
      <c r="C185" s="3">
        <v>3</v>
      </c>
      <c r="D185" s="2">
        <v>0.41189999999999999</v>
      </c>
      <c r="E185" s="2">
        <v>1</v>
      </c>
      <c r="F185" s="2">
        <v>0.52</v>
      </c>
    </row>
    <row r="186" spans="1:6" x14ac:dyDescent="0.25">
      <c r="A186" s="3" t="s">
        <v>110</v>
      </c>
      <c r="B186" s="3">
        <v>1</v>
      </c>
      <c r="C186" s="3">
        <v>4</v>
      </c>
      <c r="D186" s="2">
        <v>0.30199999999999999</v>
      </c>
      <c r="E186" s="2">
        <v>1</v>
      </c>
      <c r="F186" s="2">
        <v>0.57999999999999996</v>
      </c>
    </row>
    <row r="187" spans="1:6" x14ac:dyDescent="0.25">
      <c r="A187" s="3" t="s">
        <v>110</v>
      </c>
      <c r="B187" s="3">
        <v>2</v>
      </c>
      <c r="C187" s="3">
        <v>3</v>
      </c>
      <c r="D187" s="2">
        <v>0.2475</v>
      </c>
      <c r="E187" s="2">
        <v>1</v>
      </c>
      <c r="F187" s="2">
        <v>0.62</v>
      </c>
    </row>
    <row r="188" spans="1:6" x14ac:dyDescent="0.25">
      <c r="A188" s="3" t="s">
        <v>110</v>
      </c>
      <c r="B188" s="3">
        <v>2</v>
      </c>
      <c r="C188" s="3">
        <v>4</v>
      </c>
      <c r="D188" s="2">
        <v>1.3479000000000001</v>
      </c>
      <c r="E188" s="2">
        <v>1</v>
      </c>
      <c r="F188" s="2">
        <v>0.25</v>
      </c>
    </row>
    <row r="189" spans="1:6" x14ac:dyDescent="0.25">
      <c r="A189" s="3" t="s">
        <v>110</v>
      </c>
      <c r="B189" s="3">
        <v>3</v>
      </c>
      <c r="C189" s="3">
        <v>4</v>
      </c>
      <c r="D189" s="2">
        <v>0.67259999999999998</v>
      </c>
      <c r="E189" s="2">
        <v>1</v>
      </c>
      <c r="F189" s="2">
        <v>0.41</v>
      </c>
    </row>
    <row r="191" spans="1:6" ht="18.75" x14ac:dyDescent="0.25">
      <c r="A191" s="1" t="s">
        <v>111</v>
      </c>
    </row>
    <row r="193" spans="1:9" ht="28.5" x14ac:dyDescent="0.25">
      <c r="A193" s="2"/>
      <c r="B193" s="3" t="s">
        <v>42</v>
      </c>
      <c r="C193" s="3" t="s">
        <v>105</v>
      </c>
      <c r="D193" s="3" t="s">
        <v>43</v>
      </c>
      <c r="E193" s="3" t="s">
        <v>105</v>
      </c>
      <c r="F193" s="3" t="s">
        <v>44</v>
      </c>
      <c r="G193" s="3" t="s">
        <v>105</v>
      </c>
      <c r="H193" s="3" t="s">
        <v>45</v>
      </c>
      <c r="I193" s="3" t="s">
        <v>105</v>
      </c>
    </row>
    <row r="194" spans="1:9" x14ac:dyDescent="0.25">
      <c r="A194" s="3" t="s">
        <v>112</v>
      </c>
      <c r="B194" s="2">
        <v>0.65680000000000005</v>
      </c>
      <c r="C194" s="2">
        <v>1.9E-2</v>
      </c>
      <c r="D194" s="2">
        <v>0.1671</v>
      </c>
      <c r="E194" s="2">
        <v>1.6299999999999999E-2</v>
      </c>
      <c r="F194" s="2">
        <v>0.1595</v>
      </c>
      <c r="G194" s="2">
        <v>1.4E-2</v>
      </c>
      <c r="H194" s="2">
        <v>1.66E-2</v>
      </c>
      <c r="I194" s="2">
        <v>4.4999999999999997E-3</v>
      </c>
    </row>
    <row r="195" spans="1:9" x14ac:dyDescent="0.25">
      <c r="A195" s="3" t="s">
        <v>107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 t="s">
        <v>196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10">
        <v>43113</v>
      </c>
      <c r="B197" s="2">
        <v>0.19420000000000001</v>
      </c>
      <c r="C197" s="2" t="s">
        <v>11</v>
      </c>
      <c r="D197" s="2">
        <v>0.2321</v>
      </c>
      <c r="E197" s="2" t="s">
        <v>11</v>
      </c>
      <c r="F197" s="2">
        <v>0.2132</v>
      </c>
      <c r="G197" s="2" t="s">
        <v>11</v>
      </c>
      <c r="H197" s="2">
        <v>0.1673</v>
      </c>
      <c r="I197" s="2" t="s">
        <v>11</v>
      </c>
    </row>
    <row r="198" spans="1:9" x14ac:dyDescent="0.25">
      <c r="A198" s="3" t="s">
        <v>198</v>
      </c>
      <c r="B198" s="2">
        <v>0.1704</v>
      </c>
      <c r="C198" s="2" t="s">
        <v>11</v>
      </c>
      <c r="D198" s="2">
        <v>0.18640000000000001</v>
      </c>
      <c r="E198" s="2" t="s">
        <v>11</v>
      </c>
      <c r="F198" s="2">
        <v>0.1789</v>
      </c>
      <c r="G198" s="2" t="s">
        <v>11</v>
      </c>
      <c r="H198" s="2">
        <v>0.15679999999999999</v>
      </c>
      <c r="I198" s="2" t="s">
        <v>11</v>
      </c>
    </row>
    <row r="199" spans="1:9" x14ac:dyDescent="0.25">
      <c r="A199" s="3" t="s">
        <v>199</v>
      </c>
      <c r="B199" s="2">
        <v>0.21629999999999999</v>
      </c>
      <c r="C199" s="2" t="s">
        <v>11</v>
      </c>
      <c r="D199" s="2">
        <v>0.21990000000000001</v>
      </c>
      <c r="E199" s="2" t="s">
        <v>11</v>
      </c>
      <c r="F199" s="2">
        <v>0.21870000000000001</v>
      </c>
      <c r="G199" s="2" t="s">
        <v>11</v>
      </c>
      <c r="H199" s="2">
        <v>0.2107</v>
      </c>
      <c r="I199" s="2" t="s">
        <v>11</v>
      </c>
    </row>
    <row r="200" spans="1:9" x14ac:dyDescent="0.25">
      <c r="A200" s="3" t="s">
        <v>200</v>
      </c>
      <c r="B200" s="2">
        <v>0.1968</v>
      </c>
      <c r="C200" s="2" t="s">
        <v>11</v>
      </c>
      <c r="D200" s="2">
        <v>0.1827</v>
      </c>
      <c r="E200" s="2" t="s">
        <v>11</v>
      </c>
      <c r="F200" s="2">
        <v>0.19</v>
      </c>
      <c r="G200" s="2" t="s">
        <v>11</v>
      </c>
      <c r="H200" s="2">
        <v>0.20549999999999999</v>
      </c>
      <c r="I200" s="2" t="s">
        <v>11</v>
      </c>
    </row>
    <row r="201" spans="1:9" x14ac:dyDescent="0.25">
      <c r="A201" s="3" t="s">
        <v>201</v>
      </c>
      <c r="B201" s="2">
        <v>0.2223</v>
      </c>
      <c r="C201" s="2" t="s">
        <v>11</v>
      </c>
      <c r="D201" s="2">
        <v>0.1789</v>
      </c>
      <c r="E201" s="2" t="s">
        <v>11</v>
      </c>
      <c r="F201" s="2">
        <v>0.1993</v>
      </c>
      <c r="G201" s="2" t="s">
        <v>11</v>
      </c>
      <c r="H201" s="2">
        <v>0.25969999999999999</v>
      </c>
      <c r="I201" s="2" t="s">
        <v>11</v>
      </c>
    </row>
    <row r="202" spans="1:9" x14ac:dyDescent="0.25">
      <c r="A202" s="3" t="s">
        <v>131</v>
      </c>
      <c r="B202" s="2">
        <v>24.636099999999999</v>
      </c>
      <c r="C202" s="2" t="s">
        <v>11</v>
      </c>
      <c r="D202" s="2">
        <v>22.862300000000001</v>
      </c>
      <c r="E202" s="2" t="s">
        <v>11</v>
      </c>
      <c r="F202" s="2">
        <v>23.713200000000001</v>
      </c>
      <c r="G202" s="2" t="s">
        <v>11</v>
      </c>
      <c r="H202" s="2">
        <v>26.071999999999999</v>
      </c>
      <c r="I202" s="2" t="s">
        <v>11</v>
      </c>
    </row>
    <row r="204" spans="1:9" ht="18.75" x14ac:dyDescent="0.25">
      <c r="A204" s="1" t="s">
        <v>113</v>
      </c>
    </row>
    <row r="206" spans="1:9" ht="28.5" x14ac:dyDescent="0.25">
      <c r="A206" s="2"/>
      <c r="B206" s="3" t="s">
        <v>42</v>
      </c>
      <c r="C206" s="3" t="s">
        <v>43</v>
      </c>
      <c r="D206" s="3" t="s">
        <v>44</v>
      </c>
      <c r="E206" s="3" t="s">
        <v>45</v>
      </c>
    </row>
    <row r="207" spans="1:9" x14ac:dyDescent="0.25">
      <c r="A207" s="3" t="s">
        <v>114</v>
      </c>
      <c r="B207" s="2">
        <v>0.65680000000000005</v>
      </c>
      <c r="C207" s="2">
        <v>0.1671</v>
      </c>
      <c r="D207" s="2">
        <v>0.1595</v>
      </c>
      <c r="E207" s="2">
        <v>1.66E-2</v>
      </c>
    </row>
    <row r="208" spans="1:9" x14ac:dyDescent="0.25">
      <c r="A208" s="3" t="s">
        <v>107</v>
      </c>
      <c r="B208" s="2"/>
      <c r="C208" s="2"/>
      <c r="D208" s="2"/>
      <c r="E208" s="2"/>
    </row>
    <row r="209" spans="1:9" x14ac:dyDescent="0.25">
      <c r="A209" s="3" t="s">
        <v>196</v>
      </c>
      <c r="B209" s="2"/>
      <c r="C209" s="2"/>
      <c r="D209" s="2"/>
      <c r="E209" s="2"/>
    </row>
    <row r="210" spans="1:9" x14ac:dyDescent="0.25">
      <c r="A210" s="10">
        <v>43113</v>
      </c>
      <c r="B210" s="2">
        <v>0.62790000000000001</v>
      </c>
      <c r="C210" s="2">
        <v>0.191</v>
      </c>
      <c r="D210" s="2">
        <v>0.16739999999999999</v>
      </c>
      <c r="E210" s="2">
        <v>1.37E-2</v>
      </c>
    </row>
    <row r="211" spans="1:9" x14ac:dyDescent="0.25">
      <c r="A211" s="3" t="s">
        <v>198</v>
      </c>
      <c r="B211" s="2">
        <v>0.64249999999999996</v>
      </c>
      <c r="C211" s="2">
        <v>0.17879999999999999</v>
      </c>
      <c r="D211" s="2">
        <v>0.16370000000000001</v>
      </c>
      <c r="E211" s="2">
        <v>1.4999999999999999E-2</v>
      </c>
    </row>
    <row r="212" spans="1:9" x14ac:dyDescent="0.25">
      <c r="A212" s="3" t="s">
        <v>199</v>
      </c>
      <c r="B212" s="2">
        <v>0.6542</v>
      </c>
      <c r="C212" s="2">
        <v>0.16919999999999999</v>
      </c>
      <c r="D212" s="2">
        <v>0.16059999999999999</v>
      </c>
      <c r="E212" s="2">
        <v>1.61E-2</v>
      </c>
    </row>
    <row r="213" spans="1:9" x14ac:dyDescent="0.25">
      <c r="A213" s="3" t="s">
        <v>200</v>
      </c>
      <c r="B213" s="2">
        <v>0.66800000000000004</v>
      </c>
      <c r="C213" s="2">
        <v>0.1578</v>
      </c>
      <c r="D213" s="2">
        <v>0.1565</v>
      </c>
      <c r="E213" s="2">
        <v>1.7600000000000001E-2</v>
      </c>
    </row>
    <row r="214" spans="1:9" x14ac:dyDescent="0.25">
      <c r="A214" s="3" t="s">
        <v>201</v>
      </c>
      <c r="B214" s="2">
        <v>0.68859999999999999</v>
      </c>
      <c r="C214" s="2">
        <v>0.1411</v>
      </c>
      <c r="D214" s="2">
        <v>0.14990000000000001</v>
      </c>
      <c r="E214" s="2">
        <v>2.0299999999999999E-2</v>
      </c>
    </row>
    <row r="216" spans="1:9" ht="18.75" x14ac:dyDescent="0.25">
      <c r="A216" s="1" t="s">
        <v>115</v>
      </c>
    </row>
    <row r="218" spans="1:9" x14ac:dyDescent="0.25">
      <c r="A218" s="2"/>
      <c r="B218" s="35" t="s">
        <v>110</v>
      </c>
      <c r="C218" s="36"/>
      <c r="D218" s="36"/>
      <c r="E218" s="36"/>
      <c r="F218" s="36"/>
      <c r="G218" s="36"/>
      <c r="H218" s="36"/>
      <c r="I218" s="37"/>
    </row>
    <row r="219" spans="1:9" x14ac:dyDescent="0.25">
      <c r="A219" s="3" t="s">
        <v>196</v>
      </c>
      <c r="B219" s="3">
        <v>1</v>
      </c>
      <c r="C219" s="3" t="s">
        <v>105</v>
      </c>
      <c r="D219" s="3">
        <v>2</v>
      </c>
      <c r="E219" s="3" t="s">
        <v>105</v>
      </c>
      <c r="F219" s="3">
        <v>3</v>
      </c>
      <c r="G219" s="3" t="s">
        <v>105</v>
      </c>
      <c r="H219" s="3">
        <v>4</v>
      </c>
      <c r="I219" s="3" t="s">
        <v>105</v>
      </c>
    </row>
    <row r="220" spans="1:9" x14ac:dyDescent="0.25">
      <c r="A220" s="3" t="s">
        <v>197</v>
      </c>
      <c r="B220" s="2">
        <v>0.61360000000000003</v>
      </c>
      <c r="C220" s="2">
        <v>3.9899999999999998E-2</v>
      </c>
      <c r="D220" s="2">
        <v>0.2031</v>
      </c>
      <c r="E220" s="2">
        <v>3.49E-2</v>
      </c>
      <c r="F220" s="2">
        <v>0.1709</v>
      </c>
      <c r="G220" s="2">
        <v>3.1600000000000003E-2</v>
      </c>
      <c r="H220" s="2">
        <v>1.2500000000000001E-2</v>
      </c>
      <c r="I220" s="2">
        <v>6.4999999999999997E-3</v>
      </c>
    </row>
    <row r="221" spans="1:9" x14ac:dyDescent="0.25">
      <c r="A221" s="3">
        <v>2</v>
      </c>
      <c r="B221" s="2">
        <v>0.61560000000000004</v>
      </c>
      <c r="C221" s="2">
        <v>3.85E-2</v>
      </c>
      <c r="D221" s="2">
        <v>0.2014</v>
      </c>
      <c r="E221" s="2">
        <v>3.3599999999999998E-2</v>
      </c>
      <c r="F221" s="2">
        <v>0.1704</v>
      </c>
      <c r="G221" s="2">
        <v>3.04E-2</v>
      </c>
      <c r="H221" s="2">
        <v>1.2699999999999999E-2</v>
      </c>
      <c r="I221" s="2">
        <v>6.4000000000000003E-3</v>
      </c>
    </row>
    <row r="222" spans="1:9" x14ac:dyDescent="0.25">
      <c r="A222" s="3">
        <v>3</v>
      </c>
      <c r="B222" s="2">
        <v>0.61750000000000005</v>
      </c>
      <c r="C222" s="2">
        <v>3.7100000000000001E-2</v>
      </c>
      <c r="D222" s="2">
        <v>0.19969999999999999</v>
      </c>
      <c r="E222" s="2">
        <v>3.2300000000000002E-2</v>
      </c>
      <c r="F222" s="2">
        <v>0.1699</v>
      </c>
      <c r="G222" s="2">
        <v>2.92E-2</v>
      </c>
      <c r="H222" s="2">
        <v>1.2800000000000001E-2</v>
      </c>
      <c r="I222" s="2">
        <v>6.3E-3</v>
      </c>
    </row>
    <row r="223" spans="1:9" x14ac:dyDescent="0.25">
      <c r="A223" s="3">
        <v>4</v>
      </c>
      <c r="B223" s="2">
        <v>0.61950000000000005</v>
      </c>
      <c r="C223" s="2">
        <v>3.5700000000000003E-2</v>
      </c>
      <c r="D223" s="2">
        <v>0.19800000000000001</v>
      </c>
      <c r="E223" s="2">
        <v>3.1E-2</v>
      </c>
      <c r="F223" s="2">
        <v>0.16950000000000001</v>
      </c>
      <c r="G223" s="2">
        <v>2.8000000000000001E-2</v>
      </c>
      <c r="H223" s="2">
        <v>1.2999999999999999E-2</v>
      </c>
      <c r="I223" s="2">
        <v>6.1999999999999998E-3</v>
      </c>
    </row>
    <row r="224" spans="1:9" x14ac:dyDescent="0.25">
      <c r="A224" s="3">
        <v>5</v>
      </c>
      <c r="B224" s="2">
        <v>0.62150000000000005</v>
      </c>
      <c r="C224" s="2">
        <v>3.44E-2</v>
      </c>
      <c r="D224" s="2">
        <v>0.19639999999999999</v>
      </c>
      <c r="E224" s="2">
        <v>2.98E-2</v>
      </c>
      <c r="F224" s="2">
        <v>0.16900000000000001</v>
      </c>
      <c r="G224" s="2">
        <v>2.69E-2</v>
      </c>
      <c r="H224" s="2">
        <v>1.3100000000000001E-2</v>
      </c>
      <c r="I224" s="2">
        <v>6.1000000000000004E-3</v>
      </c>
    </row>
    <row r="225" spans="1:9" x14ac:dyDescent="0.25">
      <c r="A225" s="3">
        <v>6</v>
      </c>
      <c r="B225" s="2">
        <v>0.62339999999999995</v>
      </c>
      <c r="C225" s="2">
        <v>3.3099999999999997E-2</v>
      </c>
      <c r="D225" s="2">
        <v>0.19470000000000001</v>
      </c>
      <c r="E225" s="2">
        <v>2.86E-2</v>
      </c>
      <c r="F225" s="2">
        <v>0.16850000000000001</v>
      </c>
      <c r="G225" s="2">
        <v>2.58E-2</v>
      </c>
      <c r="H225" s="2">
        <v>1.3299999999999999E-2</v>
      </c>
      <c r="I225" s="2">
        <v>6.1000000000000004E-3</v>
      </c>
    </row>
    <row r="226" spans="1:9" x14ac:dyDescent="0.25">
      <c r="A226" s="3">
        <v>7</v>
      </c>
      <c r="B226" s="2">
        <v>0.62539999999999996</v>
      </c>
      <c r="C226" s="2">
        <v>3.1800000000000002E-2</v>
      </c>
      <c r="D226" s="2">
        <v>0.19309999999999999</v>
      </c>
      <c r="E226" s="2">
        <v>2.75E-2</v>
      </c>
      <c r="F226" s="2">
        <v>0.1681</v>
      </c>
      <c r="G226" s="2">
        <v>2.47E-2</v>
      </c>
      <c r="H226" s="2">
        <v>1.35E-2</v>
      </c>
      <c r="I226" s="2">
        <v>6.0000000000000001E-3</v>
      </c>
    </row>
    <row r="227" spans="1:9" x14ac:dyDescent="0.25">
      <c r="A227" s="3">
        <v>8</v>
      </c>
      <c r="B227" s="2">
        <v>0.62729999999999997</v>
      </c>
      <c r="C227" s="2">
        <v>3.0499999999999999E-2</v>
      </c>
      <c r="D227" s="2">
        <v>0.1915</v>
      </c>
      <c r="E227" s="2">
        <v>2.63E-2</v>
      </c>
      <c r="F227" s="2">
        <v>0.1676</v>
      </c>
      <c r="G227" s="2">
        <v>2.3599999999999999E-2</v>
      </c>
      <c r="H227" s="2">
        <v>1.3599999999999999E-2</v>
      </c>
      <c r="I227" s="2">
        <v>5.8999999999999999E-3</v>
      </c>
    </row>
    <row r="228" spans="1:9" x14ac:dyDescent="0.25">
      <c r="A228" s="3">
        <v>9</v>
      </c>
      <c r="B228" s="2">
        <v>0.62929999999999997</v>
      </c>
      <c r="C228" s="2">
        <v>2.93E-2</v>
      </c>
      <c r="D228" s="2">
        <v>0.1898</v>
      </c>
      <c r="E228" s="2">
        <v>2.53E-2</v>
      </c>
      <c r="F228" s="2">
        <v>0.1671</v>
      </c>
      <c r="G228" s="2">
        <v>2.2599999999999999E-2</v>
      </c>
      <c r="H228" s="2">
        <v>1.38E-2</v>
      </c>
      <c r="I228" s="2">
        <v>5.7999999999999996E-3</v>
      </c>
    </row>
    <row r="229" spans="1:9" x14ac:dyDescent="0.25">
      <c r="A229" s="3">
        <v>10</v>
      </c>
      <c r="B229" s="2">
        <v>0.63119999999999998</v>
      </c>
      <c r="C229" s="2">
        <v>2.8199999999999999E-2</v>
      </c>
      <c r="D229" s="2">
        <v>0.18820000000000001</v>
      </c>
      <c r="E229" s="2">
        <v>2.4199999999999999E-2</v>
      </c>
      <c r="F229" s="2">
        <v>0.1666</v>
      </c>
      <c r="G229" s="2">
        <v>2.1600000000000001E-2</v>
      </c>
      <c r="H229" s="2">
        <v>1.3899999999999999E-2</v>
      </c>
      <c r="I229" s="2">
        <v>5.7000000000000002E-3</v>
      </c>
    </row>
    <row r="230" spans="1:9" x14ac:dyDescent="0.25">
      <c r="A230" s="3">
        <v>11</v>
      </c>
      <c r="B230" s="2">
        <v>0.6331</v>
      </c>
      <c r="C230" s="2">
        <v>2.7E-2</v>
      </c>
      <c r="D230" s="2">
        <v>0.18659999999999999</v>
      </c>
      <c r="E230" s="2">
        <v>2.3199999999999998E-2</v>
      </c>
      <c r="F230" s="2">
        <v>0.16619999999999999</v>
      </c>
      <c r="G230" s="2">
        <v>2.06E-2</v>
      </c>
      <c r="H230" s="2">
        <v>1.41E-2</v>
      </c>
      <c r="I230" s="2">
        <v>5.5999999999999999E-3</v>
      </c>
    </row>
    <row r="231" spans="1:9" x14ac:dyDescent="0.25">
      <c r="A231" s="3">
        <v>12</v>
      </c>
      <c r="B231" s="2">
        <v>0.63500000000000001</v>
      </c>
      <c r="C231" s="2">
        <v>2.5999999999999999E-2</v>
      </c>
      <c r="D231" s="2">
        <v>0.185</v>
      </c>
      <c r="E231" s="2">
        <v>2.23E-2</v>
      </c>
      <c r="F231" s="2">
        <v>0.16569999999999999</v>
      </c>
      <c r="G231" s="2">
        <v>1.9699999999999999E-2</v>
      </c>
      <c r="H231" s="2">
        <v>1.43E-2</v>
      </c>
      <c r="I231" s="2">
        <v>5.4999999999999997E-3</v>
      </c>
    </row>
    <row r="232" spans="1:9" x14ac:dyDescent="0.25">
      <c r="A232" s="3">
        <v>13</v>
      </c>
      <c r="B232" s="2">
        <v>0.63690000000000002</v>
      </c>
      <c r="C232" s="2">
        <v>2.4899999999999999E-2</v>
      </c>
      <c r="D232" s="2">
        <v>0.18340000000000001</v>
      </c>
      <c r="E232" s="2">
        <v>2.1399999999999999E-2</v>
      </c>
      <c r="F232" s="2">
        <v>0.16520000000000001</v>
      </c>
      <c r="G232" s="2">
        <v>1.8800000000000001E-2</v>
      </c>
      <c r="H232" s="2">
        <v>1.4500000000000001E-2</v>
      </c>
      <c r="I232" s="2">
        <v>5.4000000000000003E-3</v>
      </c>
    </row>
    <row r="233" spans="1:9" x14ac:dyDescent="0.25">
      <c r="A233" s="3">
        <v>14</v>
      </c>
      <c r="B233" s="2">
        <v>0.63880000000000003</v>
      </c>
      <c r="C233" s="2">
        <v>2.4E-2</v>
      </c>
      <c r="D233" s="2">
        <v>0.18190000000000001</v>
      </c>
      <c r="E233" s="2">
        <v>2.06E-2</v>
      </c>
      <c r="F233" s="2">
        <v>0.16470000000000001</v>
      </c>
      <c r="G233" s="2">
        <v>1.7999999999999999E-2</v>
      </c>
      <c r="H233" s="2">
        <v>1.46E-2</v>
      </c>
      <c r="I233" s="2">
        <v>5.3E-3</v>
      </c>
    </row>
    <row r="234" spans="1:9" x14ac:dyDescent="0.25">
      <c r="A234" s="3">
        <v>15</v>
      </c>
      <c r="B234" s="2">
        <v>0.64070000000000005</v>
      </c>
      <c r="C234" s="2">
        <v>2.3099999999999999E-2</v>
      </c>
      <c r="D234" s="2">
        <v>0.18029999999999999</v>
      </c>
      <c r="E234" s="2">
        <v>1.9800000000000002E-2</v>
      </c>
      <c r="F234" s="2">
        <v>0.16420000000000001</v>
      </c>
      <c r="G234" s="2">
        <v>1.72E-2</v>
      </c>
      <c r="H234" s="2">
        <v>1.4800000000000001E-2</v>
      </c>
      <c r="I234" s="2">
        <v>5.1999999999999998E-3</v>
      </c>
    </row>
    <row r="235" spans="1:9" x14ac:dyDescent="0.25">
      <c r="A235" s="3">
        <v>16</v>
      </c>
      <c r="B235" s="2">
        <v>0.64259999999999995</v>
      </c>
      <c r="C235" s="2">
        <v>2.2200000000000001E-2</v>
      </c>
      <c r="D235" s="2">
        <v>0.17879999999999999</v>
      </c>
      <c r="E235" s="2">
        <v>1.9099999999999999E-2</v>
      </c>
      <c r="F235" s="2">
        <v>0.16370000000000001</v>
      </c>
      <c r="G235" s="2">
        <v>1.6500000000000001E-2</v>
      </c>
      <c r="H235" s="2">
        <v>1.4999999999999999E-2</v>
      </c>
      <c r="I235" s="2">
        <v>5.1000000000000004E-3</v>
      </c>
    </row>
    <row r="236" spans="1:9" x14ac:dyDescent="0.25">
      <c r="A236" s="3">
        <v>17</v>
      </c>
      <c r="B236" s="2">
        <v>0.64439999999999997</v>
      </c>
      <c r="C236" s="2">
        <v>2.1499999999999998E-2</v>
      </c>
      <c r="D236" s="2">
        <v>0.1772</v>
      </c>
      <c r="E236" s="2">
        <v>1.8499999999999999E-2</v>
      </c>
      <c r="F236" s="2">
        <v>0.16320000000000001</v>
      </c>
      <c r="G236" s="2">
        <v>1.5900000000000001E-2</v>
      </c>
      <c r="H236" s="2">
        <v>1.5100000000000001E-2</v>
      </c>
      <c r="I236" s="2">
        <v>5.0000000000000001E-3</v>
      </c>
    </row>
    <row r="237" spans="1:9" x14ac:dyDescent="0.25">
      <c r="A237" s="3">
        <v>18</v>
      </c>
      <c r="B237" s="2">
        <v>0.64629999999999999</v>
      </c>
      <c r="C237" s="2">
        <v>2.0899999999999998E-2</v>
      </c>
      <c r="D237" s="2">
        <v>0.1757</v>
      </c>
      <c r="E237" s="2">
        <v>1.7999999999999999E-2</v>
      </c>
      <c r="F237" s="2">
        <v>0.16270000000000001</v>
      </c>
      <c r="G237" s="2">
        <v>1.5299999999999999E-2</v>
      </c>
      <c r="H237" s="2">
        <v>1.5299999999999999E-2</v>
      </c>
      <c r="I237" s="2">
        <v>4.8999999999999998E-3</v>
      </c>
    </row>
    <row r="238" spans="1:9" x14ac:dyDescent="0.25">
      <c r="A238" s="3">
        <v>19</v>
      </c>
      <c r="B238" s="2">
        <v>0.64810000000000001</v>
      </c>
      <c r="C238" s="2">
        <v>2.0299999999999999E-2</v>
      </c>
      <c r="D238" s="2">
        <v>0.17419999999999999</v>
      </c>
      <c r="E238" s="2">
        <v>1.7500000000000002E-2</v>
      </c>
      <c r="F238" s="2">
        <v>0.16220000000000001</v>
      </c>
      <c r="G238" s="2">
        <v>1.49E-2</v>
      </c>
      <c r="H238" s="2">
        <v>1.55E-2</v>
      </c>
      <c r="I238" s="2">
        <v>4.7999999999999996E-3</v>
      </c>
    </row>
    <row r="239" spans="1:9" x14ac:dyDescent="0.25">
      <c r="A239" s="3">
        <v>20</v>
      </c>
      <c r="B239" s="2">
        <v>0.64990000000000003</v>
      </c>
      <c r="C239" s="2">
        <v>1.9800000000000002E-2</v>
      </c>
      <c r="D239" s="2">
        <v>0.1726</v>
      </c>
      <c r="E239" s="2">
        <v>1.7100000000000001E-2</v>
      </c>
      <c r="F239" s="2">
        <v>0.16170000000000001</v>
      </c>
      <c r="G239" s="2">
        <v>1.4500000000000001E-2</v>
      </c>
      <c r="H239" s="2">
        <v>1.5699999999999999E-2</v>
      </c>
      <c r="I239" s="2">
        <v>4.7999999999999996E-3</v>
      </c>
    </row>
    <row r="240" spans="1:9" x14ac:dyDescent="0.25">
      <c r="A240" s="3">
        <v>21</v>
      </c>
      <c r="B240" s="2">
        <v>0.65180000000000005</v>
      </c>
      <c r="C240" s="2">
        <v>1.95E-2</v>
      </c>
      <c r="D240" s="2">
        <v>0.1711</v>
      </c>
      <c r="E240" s="2">
        <v>1.6799999999999999E-2</v>
      </c>
      <c r="F240" s="2">
        <v>0.16120000000000001</v>
      </c>
      <c r="G240" s="2">
        <v>1.4200000000000001E-2</v>
      </c>
      <c r="H240" s="2">
        <v>1.5900000000000001E-2</v>
      </c>
      <c r="I240" s="2">
        <v>4.7000000000000002E-3</v>
      </c>
    </row>
    <row r="241" spans="1:9" x14ac:dyDescent="0.25">
      <c r="A241" s="3">
        <v>22</v>
      </c>
      <c r="B241" s="2">
        <v>0.65359999999999996</v>
      </c>
      <c r="C241" s="2">
        <v>1.9199999999999998E-2</v>
      </c>
      <c r="D241" s="2">
        <v>0.1696</v>
      </c>
      <c r="E241" s="2">
        <v>1.6500000000000001E-2</v>
      </c>
      <c r="F241" s="2">
        <v>0.16070000000000001</v>
      </c>
      <c r="G241" s="2">
        <v>1.41E-2</v>
      </c>
      <c r="H241" s="2">
        <v>1.61E-2</v>
      </c>
      <c r="I241" s="2">
        <v>4.7000000000000002E-3</v>
      </c>
    </row>
    <row r="242" spans="1:9" x14ac:dyDescent="0.25">
      <c r="A242" s="3">
        <v>23</v>
      </c>
      <c r="B242" s="2">
        <v>0.65539999999999998</v>
      </c>
      <c r="C242" s="2">
        <v>1.9099999999999999E-2</v>
      </c>
      <c r="D242" s="2">
        <v>0.1681</v>
      </c>
      <c r="E242" s="2">
        <v>1.6400000000000001E-2</v>
      </c>
      <c r="F242" s="2">
        <v>0.16020000000000001</v>
      </c>
      <c r="G242" s="2">
        <v>1.4E-2</v>
      </c>
      <c r="H242" s="2">
        <v>1.6199999999999999E-2</v>
      </c>
      <c r="I242" s="2">
        <v>4.5999999999999999E-3</v>
      </c>
    </row>
    <row r="243" spans="1:9" x14ac:dyDescent="0.25">
      <c r="A243" s="3">
        <v>24</v>
      </c>
      <c r="B243" s="2">
        <v>0.65720000000000001</v>
      </c>
      <c r="C243" s="2">
        <v>1.9099999999999999E-2</v>
      </c>
      <c r="D243" s="2">
        <v>0.16669999999999999</v>
      </c>
      <c r="E243" s="2">
        <v>1.6299999999999999E-2</v>
      </c>
      <c r="F243" s="2">
        <v>0.15970000000000001</v>
      </c>
      <c r="G243" s="2">
        <v>1.41E-2</v>
      </c>
      <c r="H243" s="2">
        <v>1.6400000000000001E-2</v>
      </c>
      <c r="I243" s="2">
        <v>4.5999999999999999E-3</v>
      </c>
    </row>
    <row r="244" spans="1:9" x14ac:dyDescent="0.25">
      <c r="A244" s="3">
        <v>25</v>
      </c>
      <c r="B244" s="2">
        <v>0.65900000000000003</v>
      </c>
      <c r="C244" s="2">
        <v>1.9199999999999998E-2</v>
      </c>
      <c r="D244" s="2">
        <v>0.16520000000000001</v>
      </c>
      <c r="E244" s="2">
        <v>1.6299999999999999E-2</v>
      </c>
      <c r="F244" s="2">
        <v>0.15920000000000001</v>
      </c>
      <c r="G244" s="2">
        <v>1.4200000000000001E-2</v>
      </c>
      <c r="H244" s="2">
        <v>1.66E-2</v>
      </c>
      <c r="I244" s="2">
        <v>4.5999999999999999E-3</v>
      </c>
    </row>
    <row r="245" spans="1:9" x14ac:dyDescent="0.25">
      <c r="A245" s="3">
        <v>26</v>
      </c>
      <c r="B245" s="2">
        <v>0.66080000000000005</v>
      </c>
      <c r="C245" s="2">
        <v>1.9400000000000001E-2</v>
      </c>
      <c r="D245" s="2">
        <v>0.16370000000000001</v>
      </c>
      <c r="E245" s="2">
        <v>1.6400000000000001E-2</v>
      </c>
      <c r="F245" s="2">
        <v>0.15870000000000001</v>
      </c>
      <c r="G245" s="2">
        <v>1.4500000000000001E-2</v>
      </c>
      <c r="H245" s="2">
        <v>1.6799999999999999E-2</v>
      </c>
      <c r="I245" s="2">
        <v>4.5999999999999999E-3</v>
      </c>
    </row>
    <row r="246" spans="1:9" x14ac:dyDescent="0.25">
      <c r="A246" s="3">
        <v>27</v>
      </c>
      <c r="B246" s="2">
        <v>0.66249999999999998</v>
      </c>
      <c r="C246" s="2">
        <v>1.9699999999999999E-2</v>
      </c>
      <c r="D246" s="2">
        <v>0.1623</v>
      </c>
      <c r="E246" s="2">
        <v>1.6500000000000001E-2</v>
      </c>
      <c r="F246" s="2">
        <v>0.15820000000000001</v>
      </c>
      <c r="G246" s="2">
        <v>1.4800000000000001E-2</v>
      </c>
      <c r="H246" s="2">
        <v>1.7000000000000001E-2</v>
      </c>
      <c r="I246" s="2">
        <v>4.5999999999999999E-3</v>
      </c>
    </row>
    <row r="247" spans="1:9" x14ac:dyDescent="0.25">
      <c r="A247" s="3">
        <v>28</v>
      </c>
      <c r="B247" s="2">
        <v>0.6643</v>
      </c>
      <c r="C247" s="2">
        <v>2.01E-2</v>
      </c>
      <c r="D247" s="2">
        <v>0.1608</v>
      </c>
      <c r="E247" s="2">
        <v>1.6799999999999999E-2</v>
      </c>
      <c r="F247" s="2">
        <v>0.15770000000000001</v>
      </c>
      <c r="G247" s="2">
        <v>1.52E-2</v>
      </c>
      <c r="H247" s="2">
        <v>1.72E-2</v>
      </c>
      <c r="I247" s="2">
        <v>4.5999999999999999E-3</v>
      </c>
    </row>
    <row r="248" spans="1:9" x14ac:dyDescent="0.25">
      <c r="A248" s="3">
        <v>29</v>
      </c>
      <c r="B248" s="2">
        <v>0.66600000000000004</v>
      </c>
      <c r="C248" s="2">
        <v>2.06E-2</v>
      </c>
      <c r="D248" s="2">
        <v>0.15939999999999999</v>
      </c>
      <c r="E248" s="2">
        <v>1.7000000000000001E-2</v>
      </c>
      <c r="F248" s="2">
        <v>0.15709999999999999</v>
      </c>
      <c r="G248" s="2">
        <v>1.5699999999999999E-2</v>
      </c>
      <c r="H248" s="2">
        <v>1.7399999999999999E-2</v>
      </c>
      <c r="I248" s="2">
        <v>4.5999999999999999E-3</v>
      </c>
    </row>
    <row r="249" spans="1:9" x14ac:dyDescent="0.25">
      <c r="A249" s="3">
        <v>30</v>
      </c>
      <c r="B249" s="2">
        <v>0.66779999999999995</v>
      </c>
      <c r="C249" s="2">
        <v>2.1100000000000001E-2</v>
      </c>
      <c r="D249" s="2">
        <v>0.158</v>
      </c>
      <c r="E249" s="2">
        <v>1.7399999999999999E-2</v>
      </c>
      <c r="F249" s="2">
        <v>0.15659999999999999</v>
      </c>
      <c r="G249" s="2">
        <v>1.6299999999999999E-2</v>
      </c>
      <c r="H249" s="2">
        <v>1.7600000000000001E-2</v>
      </c>
      <c r="I249" s="2">
        <v>4.7000000000000002E-3</v>
      </c>
    </row>
    <row r="250" spans="1:9" x14ac:dyDescent="0.25">
      <c r="A250" s="3">
        <v>31</v>
      </c>
      <c r="B250" s="2">
        <v>0.66949999999999998</v>
      </c>
      <c r="C250" s="2">
        <v>2.18E-2</v>
      </c>
      <c r="D250" s="2">
        <v>0.15659999999999999</v>
      </c>
      <c r="E250" s="2">
        <v>1.78E-2</v>
      </c>
      <c r="F250" s="2">
        <v>0.15609999999999999</v>
      </c>
      <c r="G250" s="2">
        <v>1.6899999999999998E-2</v>
      </c>
      <c r="H250" s="2">
        <v>1.78E-2</v>
      </c>
      <c r="I250" s="2">
        <v>4.7999999999999996E-3</v>
      </c>
    </row>
    <row r="251" spans="1:9" x14ac:dyDescent="0.25">
      <c r="A251" s="3">
        <v>32</v>
      </c>
      <c r="B251" s="2">
        <v>0.67120000000000002</v>
      </c>
      <c r="C251" s="2">
        <v>2.2499999999999999E-2</v>
      </c>
      <c r="D251" s="2">
        <v>0.1552</v>
      </c>
      <c r="E251" s="2">
        <v>1.8200000000000001E-2</v>
      </c>
      <c r="F251" s="2">
        <v>0.15559999999999999</v>
      </c>
      <c r="G251" s="2">
        <v>1.7600000000000001E-2</v>
      </c>
      <c r="H251" s="2">
        <v>1.7999999999999999E-2</v>
      </c>
      <c r="I251" s="2">
        <v>4.8999999999999998E-3</v>
      </c>
    </row>
    <row r="252" spans="1:9" x14ac:dyDescent="0.25">
      <c r="A252" s="3">
        <v>33</v>
      </c>
      <c r="B252" s="2">
        <v>0.67290000000000005</v>
      </c>
      <c r="C252" s="2">
        <v>2.3199999999999998E-2</v>
      </c>
      <c r="D252" s="2">
        <v>0.15379999999999999</v>
      </c>
      <c r="E252" s="2">
        <v>1.8599999999999998E-2</v>
      </c>
      <c r="F252" s="2">
        <v>0.15509999999999999</v>
      </c>
      <c r="G252" s="2">
        <v>1.83E-2</v>
      </c>
      <c r="H252" s="2">
        <v>1.8200000000000001E-2</v>
      </c>
      <c r="I252" s="2">
        <v>5.0000000000000001E-3</v>
      </c>
    </row>
    <row r="253" spans="1:9" x14ac:dyDescent="0.25">
      <c r="A253" s="3">
        <v>34</v>
      </c>
      <c r="B253" s="2">
        <v>0.67469999999999997</v>
      </c>
      <c r="C253" s="2">
        <v>2.41E-2</v>
      </c>
      <c r="D253" s="2">
        <v>0.15240000000000001</v>
      </c>
      <c r="E253" s="2">
        <v>1.9099999999999999E-2</v>
      </c>
      <c r="F253" s="2">
        <v>0.1545</v>
      </c>
      <c r="G253" s="2">
        <v>1.9099999999999999E-2</v>
      </c>
      <c r="H253" s="2">
        <v>1.84E-2</v>
      </c>
      <c r="I253" s="2">
        <v>5.1000000000000004E-3</v>
      </c>
    </row>
    <row r="254" spans="1:9" x14ac:dyDescent="0.25">
      <c r="A254" s="3">
        <v>35</v>
      </c>
      <c r="B254" s="2">
        <v>0.67630000000000001</v>
      </c>
      <c r="C254" s="2">
        <v>2.4899999999999999E-2</v>
      </c>
      <c r="D254" s="2">
        <v>0.151</v>
      </c>
      <c r="E254" s="2">
        <v>1.9699999999999999E-2</v>
      </c>
      <c r="F254" s="2">
        <v>0.154</v>
      </c>
      <c r="G254" s="2">
        <v>1.9900000000000001E-2</v>
      </c>
      <c r="H254" s="2">
        <v>1.8599999999999998E-2</v>
      </c>
      <c r="I254" s="2">
        <v>5.1999999999999998E-3</v>
      </c>
    </row>
    <row r="255" spans="1:9" x14ac:dyDescent="0.25">
      <c r="A255" s="3">
        <v>36</v>
      </c>
      <c r="B255" s="2">
        <v>0.67800000000000005</v>
      </c>
      <c r="C255" s="2">
        <v>2.58E-2</v>
      </c>
      <c r="D255" s="2">
        <v>0.1497</v>
      </c>
      <c r="E255" s="2">
        <v>2.0199999999999999E-2</v>
      </c>
      <c r="F255" s="2">
        <v>0.1535</v>
      </c>
      <c r="G255" s="2">
        <v>2.07E-2</v>
      </c>
      <c r="H255" s="2">
        <v>1.89E-2</v>
      </c>
      <c r="I255" s="2">
        <v>5.4000000000000003E-3</v>
      </c>
    </row>
    <row r="256" spans="1:9" x14ac:dyDescent="0.25">
      <c r="A256" s="3">
        <v>37</v>
      </c>
      <c r="B256" s="2">
        <v>0.67969999999999997</v>
      </c>
      <c r="C256" s="2">
        <v>2.6800000000000001E-2</v>
      </c>
      <c r="D256" s="2">
        <v>0.14829999999999999</v>
      </c>
      <c r="E256" s="2">
        <v>2.0799999999999999E-2</v>
      </c>
      <c r="F256" s="2">
        <v>0.15290000000000001</v>
      </c>
      <c r="G256" s="2">
        <v>2.1600000000000001E-2</v>
      </c>
      <c r="H256" s="2">
        <v>1.9099999999999999E-2</v>
      </c>
      <c r="I256" s="2">
        <v>5.5999999999999999E-3</v>
      </c>
    </row>
    <row r="257" spans="1:9" x14ac:dyDescent="0.25">
      <c r="A257" s="3">
        <v>38</v>
      </c>
      <c r="B257" s="2">
        <v>0.68140000000000001</v>
      </c>
      <c r="C257" s="2">
        <v>2.7699999999999999E-2</v>
      </c>
      <c r="D257" s="2">
        <v>0.1469</v>
      </c>
      <c r="E257" s="2">
        <v>2.1299999999999999E-2</v>
      </c>
      <c r="F257" s="2">
        <v>0.15240000000000001</v>
      </c>
      <c r="G257" s="2">
        <v>2.24E-2</v>
      </c>
      <c r="H257" s="2">
        <v>1.9300000000000001E-2</v>
      </c>
      <c r="I257" s="2">
        <v>5.7999999999999996E-3</v>
      </c>
    </row>
    <row r="258" spans="1:9" x14ac:dyDescent="0.25">
      <c r="A258" s="3">
        <v>39</v>
      </c>
      <c r="B258" s="2">
        <v>0.68300000000000005</v>
      </c>
      <c r="C258" s="2">
        <v>2.87E-2</v>
      </c>
      <c r="D258" s="2">
        <v>0.14560000000000001</v>
      </c>
      <c r="E258" s="2">
        <v>2.1899999999999999E-2</v>
      </c>
      <c r="F258" s="2">
        <v>0.15190000000000001</v>
      </c>
      <c r="G258" s="2">
        <v>2.3300000000000001E-2</v>
      </c>
      <c r="H258" s="2">
        <v>1.95E-2</v>
      </c>
      <c r="I258" s="2">
        <v>6.0000000000000001E-3</v>
      </c>
    </row>
    <row r="259" spans="1:9" x14ac:dyDescent="0.25">
      <c r="A259" s="3">
        <v>40</v>
      </c>
      <c r="B259" s="2">
        <v>0.68469999999999998</v>
      </c>
      <c r="C259" s="2">
        <v>2.9700000000000001E-2</v>
      </c>
      <c r="D259" s="2">
        <v>0.14430000000000001</v>
      </c>
      <c r="E259" s="2">
        <v>2.2499999999999999E-2</v>
      </c>
      <c r="F259" s="2">
        <v>0.15129999999999999</v>
      </c>
      <c r="G259" s="2">
        <v>2.4199999999999999E-2</v>
      </c>
      <c r="H259" s="2">
        <v>1.9699999999999999E-2</v>
      </c>
      <c r="I259" s="2">
        <v>6.1999999999999998E-3</v>
      </c>
    </row>
    <row r="260" spans="1:9" x14ac:dyDescent="0.25">
      <c r="A260" s="3">
        <v>41</v>
      </c>
      <c r="B260" s="2">
        <v>0.68630000000000002</v>
      </c>
      <c r="C260" s="2">
        <v>3.0700000000000002E-2</v>
      </c>
      <c r="D260" s="2">
        <v>0.14299999999999999</v>
      </c>
      <c r="E260" s="2">
        <v>2.3099999999999999E-2</v>
      </c>
      <c r="F260" s="2">
        <v>0.15079999999999999</v>
      </c>
      <c r="G260" s="2">
        <v>2.5100000000000001E-2</v>
      </c>
      <c r="H260" s="2">
        <v>1.9900000000000001E-2</v>
      </c>
      <c r="I260" s="2">
        <v>6.4999999999999997E-3</v>
      </c>
    </row>
    <row r="261" spans="1:9" x14ac:dyDescent="0.25">
      <c r="A261" s="3">
        <v>42</v>
      </c>
      <c r="B261" s="2">
        <v>0.68789999999999996</v>
      </c>
      <c r="C261" s="2">
        <v>3.1800000000000002E-2</v>
      </c>
      <c r="D261" s="2">
        <v>0.1416</v>
      </c>
      <c r="E261" s="2">
        <v>2.3800000000000002E-2</v>
      </c>
      <c r="F261" s="2">
        <v>0.15029999999999999</v>
      </c>
      <c r="G261" s="2">
        <v>2.5999999999999999E-2</v>
      </c>
      <c r="H261" s="2">
        <v>2.0199999999999999E-2</v>
      </c>
      <c r="I261" s="2">
        <v>6.7000000000000002E-3</v>
      </c>
    </row>
    <row r="262" spans="1:9" x14ac:dyDescent="0.25">
      <c r="A262" s="3">
        <v>43</v>
      </c>
      <c r="B262" s="2">
        <v>0.6895</v>
      </c>
      <c r="C262" s="2">
        <v>3.2800000000000003E-2</v>
      </c>
      <c r="D262" s="2">
        <v>0.14030000000000001</v>
      </c>
      <c r="E262" s="2">
        <v>2.4400000000000002E-2</v>
      </c>
      <c r="F262" s="2">
        <v>0.1497</v>
      </c>
      <c r="G262" s="2">
        <v>2.69E-2</v>
      </c>
      <c r="H262" s="2">
        <v>2.0400000000000001E-2</v>
      </c>
      <c r="I262" s="2">
        <v>7.0000000000000001E-3</v>
      </c>
    </row>
    <row r="263" spans="1:9" x14ac:dyDescent="0.25">
      <c r="A263" s="3">
        <v>44</v>
      </c>
      <c r="B263" s="2">
        <v>0.69110000000000005</v>
      </c>
      <c r="C263" s="2">
        <v>3.39E-2</v>
      </c>
      <c r="D263" s="2">
        <v>0.1391</v>
      </c>
      <c r="E263" s="2">
        <v>2.5000000000000001E-2</v>
      </c>
      <c r="F263" s="2">
        <v>0.1492</v>
      </c>
      <c r="G263" s="2">
        <v>2.7900000000000001E-2</v>
      </c>
      <c r="H263" s="2">
        <v>2.06E-2</v>
      </c>
      <c r="I263" s="2">
        <v>7.3000000000000001E-3</v>
      </c>
    </row>
    <row r="264" spans="1:9" x14ac:dyDescent="0.25">
      <c r="A264" s="3">
        <v>45</v>
      </c>
      <c r="B264" s="2">
        <v>0.69269999999999998</v>
      </c>
      <c r="C264" s="2">
        <v>3.5000000000000003E-2</v>
      </c>
      <c r="D264" s="2">
        <v>0.13780000000000001</v>
      </c>
      <c r="E264" s="2">
        <v>2.5600000000000001E-2</v>
      </c>
      <c r="F264" s="2">
        <v>0.1487</v>
      </c>
      <c r="G264" s="2">
        <v>2.8799999999999999E-2</v>
      </c>
      <c r="H264" s="2">
        <v>2.0899999999999998E-2</v>
      </c>
      <c r="I264" s="2">
        <v>7.6E-3</v>
      </c>
    </row>
    <row r="265" spans="1:9" x14ac:dyDescent="0.25">
      <c r="A265" s="3">
        <v>46</v>
      </c>
      <c r="B265" s="2">
        <v>0.69430000000000003</v>
      </c>
      <c r="C265" s="2">
        <v>3.5999999999999997E-2</v>
      </c>
      <c r="D265" s="2">
        <v>0.13650000000000001</v>
      </c>
      <c r="E265" s="2">
        <v>2.6200000000000001E-2</v>
      </c>
      <c r="F265" s="2">
        <v>0.14810000000000001</v>
      </c>
      <c r="G265" s="2">
        <v>2.9700000000000001E-2</v>
      </c>
      <c r="H265" s="2">
        <v>2.1100000000000001E-2</v>
      </c>
      <c r="I265" s="2">
        <v>7.9000000000000008E-3</v>
      </c>
    </row>
    <row r="266" spans="1:9" x14ac:dyDescent="0.25">
      <c r="A266" s="3">
        <v>47</v>
      </c>
      <c r="B266" s="2">
        <v>0.69589999999999996</v>
      </c>
      <c r="C266" s="2">
        <v>3.7100000000000001E-2</v>
      </c>
      <c r="D266" s="2">
        <v>0.13519999999999999</v>
      </c>
      <c r="E266" s="2">
        <v>2.69E-2</v>
      </c>
      <c r="F266" s="2">
        <v>0.14760000000000001</v>
      </c>
      <c r="G266" s="2">
        <v>3.0700000000000002E-2</v>
      </c>
      <c r="H266" s="2">
        <v>2.1299999999999999E-2</v>
      </c>
      <c r="I266" s="2">
        <v>8.2000000000000007E-3</v>
      </c>
    </row>
    <row r="267" spans="1:9" x14ac:dyDescent="0.25">
      <c r="A267" s="3">
        <v>48</v>
      </c>
      <c r="B267" s="2">
        <v>0.69740000000000002</v>
      </c>
      <c r="C267" s="2">
        <v>3.8199999999999998E-2</v>
      </c>
      <c r="D267" s="2">
        <v>0.13400000000000001</v>
      </c>
      <c r="E267" s="2">
        <v>2.75E-2</v>
      </c>
      <c r="F267" s="2">
        <v>0.14699999999999999</v>
      </c>
      <c r="G267" s="2">
        <v>3.1600000000000003E-2</v>
      </c>
      <c r="H267" s="2">
        <v>2.1600000000000001E-2</v>
      </c>
      <c r="I267" s="2">
        <v>8.5000000000000006E-3</v>
      </c>
    </row>
    <row r="268" spans="1:9" x14ac:dyDescent="0.25">
      <c r="A268" s="3">
        <v>49</v>
      </c>
      <c r="B268" s="2">
        <v>0.69899999999999995</v>
      </c>
      <c r="C268" s="2">
        <v>3.9300000000000002E-2</v>
      </c>
      <c r="D268" s="2">
        <v>0.13270000000000001</v>
      </c>
      <c r="E268" s="2">
        <v>2.81E-2</v>
      </c>
      <c r="F268" s="2">
        <v>0.14649999999999999</v>
      </c>
      <c r="G268" s="2">
        <v>3.2599999999999997E-2</v>
      </c>
      <c r="H268" s="2">
        <v>2.18E-2</v>
      </c>
      <c r="I268" s="2">
        <v>8.8999999999999999E-3</v>
      </c>
    </row>
    <row r="269" spans="1:9" x14ac:dyDescent="0.25">
      <c r="A269" s="3">
        <v>50</v>
      </c>
      <c r="B269" s="2">
        <v>0.70050000000000001</v>
      </c>
      <c r="C269" s="2">
        <v>4.0399999999999998E-2</v>
      </c>
      <c r="D269" s="2">
        <v>0.13150000000000001</v>
      </c>
      <c r="E269" s="2">
        <v>2.87E-2</v>
      </c>
      <c r="F269" s="2">
        <v>0.14599999999999999</v>
      </c>
      <c r="G269" s="2">
        <v>3.3500000000000002E-2</v>
      </c>
      <c r="H269" s="2">
        <v>2.1999999999999999E-2</v>
      </c>
      <c r="I269" s="2">
        <v>9.2999999999999992E-3</v>
      </c>
    </row>
    <row r="270" spans="1:9" x14ac:dyDescent="0.25">
      <c r="A270" s="3">
        <v>51</v>
      </c>
      <c r="B270" s="2">
        <v>0.70199999999999996</v>
      </c>
      <c r="C270" s="2">
        <v>4.1500000000000002E-2</v>
      </c>
      <c r="D270" s="2">
        <v>0.1303</v>
      </c>
      <c r="E270" s="2">
        <v>2.93E-2</v>
      </c>
      <c r="F270" s="2">
        <v>0.1454</v>
      </c>
      <c r="G270" s="2">
        <v>3.44E-2</v>
      </c>
      <c r="H270" s="2">
        <v>2.23E-2</v>
      </c>
      <c r="I270" s="2">
        <v>9.5999999999999992E-3</v>
      </c>
    </row>
    <row r="271" spans="1:9" x14ac:dyDescent="0.25">
      <c r="A271" s="3">
        <v>52</v>
      </c>
      <c r="B271" s="2">
        <v>0.7036</v>
      </c>
      <c r="C271" s="2">
        <v>4.2599999999999999E-2</v>
      </c>
      <c r="D271" s="2">
        <v>0.129</v>
      </c>
      <c r="E271" s="2">
        <v>2.9899999999999999E-2</v>
      </c>
      <c r="F271" s="2">
        <v>0.1449</v>
      </c>
      <c r="G271" s="2">
        <v>3.5400000000000001E-2</v>
      </c>
      <c r="H271" s="2">
        <v>2.2499999999999999E-2</v>
      </c>
      <c r="I271" s="2">
        <v>0.01</v>
      </c>
    </row>
    <row r="272" spans="1:9" x14ac:dyDescent="0.25">
      <c r="A272" s="3">
        <v>53</v>
      </c>
      <c r="B272" s="2">
        <v>0.70509999999999995</v>
      </c>
      <c r="C272" s="2">
        <v>4.3700000000000003E-2</v>
      </c>
      <c r="D272" s="2">
        <v>0.1278</v>
      </c>
      <c r="E272" s="2">
        <v>3.0499999999999999E-2</v>
      </c>
      <c r="F272" s="2">
        <v>0.14430000000000001</v>
      </c>
      <c r="G272" s="2">
        <v>3.6299999999999999E-2</v>
      </c>
      <c r="H272" s="2">
        <v>2.2800000000000001E-2</v>
      </c>
      <c r="I272" s="2">
        <v>1.04E-2</v>
      </c>
    </row>
    <row r="273" spans="1:9" x14ac:dyDescent="0.25">
      <c r="A273" s="3">
        <v>54</v>
      </c>
      <c r="B273" s="2">
        <v>0.70660000000000001</v>
      </c>
      <c r="C273" s="2">
        <v>4.48E-2</v>
      </c>
      <c r="D273" s="2">
        <v>0.12659999999999999</v>
      </c>
      <c r="E273" s="2">
        <v>3.1E-2</v>
      </c>
      <c r="F273" s="2">
        <v>0.14380000000000001</v>
      </c>
      <c r="G273" s="2">
        <v>3.73E-2</v>
      </c>
      <c r="H273" s="2">
        <v>2.3E-2</v>
      </c>
      <c r="I273" s="2">
        <v>1.0800000000000001E-2</v>
      </c>
    </row>
    <row r="274" spans="1:9" x14ac:dyDescent="0.25">
      <c r="A274" s="3">
        <v>55</v>
      </c>
      <c r="B274" s="2">
        <v>0.70809999999999995</v>
      </c>
      <c r="C274" s="2">
        <v>4.5900000000000003E-2</v>
      </c>
      <c r="D274" s="2">
        <v>0.12540000000000001</v>
      </c>
      <c r="E274" s="2">
        <v>3.1600000000000003E-2</v>
      </c>
      <c r="F274" s="2">
        <v>0.14319999999999999</v>
      </c>
      <c r="G274" s="2">
        <v>3.8199999999999998E-2</v>
      </c>
      <c r="H274" s="2">
        <v>2.3300000000000001E-2</v>
      </c>
      <c r="I274" s="2">
        <v>1.12E-2</v>
      </c>
    </row>
    <row r="275" spans="1:9" x14ac:dyDescent="0.25">
      <c r="A275" s="3">
        <v>56</v>
      </c>
      <c r="B275" s="2">
        <v>0.70950000000000002</v>
      </c>
      <c r="C275" s="2">
        <v>4.7E-2</v>
      </c>
      <c r="D275" s="2">
        <v>0.1242</v>
      </c>
      <c r="E275" s="2">
        <v>3.2199999999999999E-2</v>
      </c>
      <c r="F275" s="2">
        <v>0.14269999999999999</v>
      </c>
      <c r="G275" s="2">
        <v>3.9100000000000003E-2</v>
      </c>
      <c r="H275" s="2">
        <v>2.35E-2</v>
      </c>
      <c r="I275" s="2">
        <v>1.17E-2</v>
      </c>
    </row>
    <row r="276" spans="1:9" x14ac:dyDescent="0.25">
      <c r="A276" s="3">
        <v>57</v>
      </c>
      <c r="B276" s="2">
        <v>0.71099999999999997</v>
      </c>
      <c r="C276" s="2">
        <v>4.8099999999999997E-2</v>
      </c>
      <c r="D276" s="2">
        <v>0.1231</v>
      </c>
      <c r="E276" s="2">
        <v>3.27E-2</v>
      </c>
      <c r="F276" s="2">
        <v>0.1421</v>
      </c>
      <c r="G276" s="2">
        <v>0.04</v>
      </c>
      <c r="H276" s="2">
        <v>2.3800000000000002E-2</v>
      </c>
      <c r="I276" s="2">
        <v>1.21E-2</v>
      </c>
    </row>
    <row r="277" spans="1:9" x14ac:dyDescent="0.25">
      <c r="A277" s="3">
        <v>58</v>
      </c>
      <c r="B277" s="2">
        <v>0.71250000000000002</v>
      </c>
      <c r="C277" s="2">
        <v>4.9099999999999998E-2</v>
      </c>
      <c r="D277" s="2">
        <v>0.12189999999999999</v>
      </c>
      <c r="E277" s="2">
        <v>3.3300000000000003E-2</v>
      </c>
      <c r="F277" s="2">
        <v>0.1416</v>
      </c>
      <c r="G277" s="2">
        <v>4.1000000000000002E-2</v>
      </c>
      <c r="H277" s="2">
        <v>2.41E-2</v>
      </c>
      <c r="I277" s="2">
        <v>1.26E-2</v>
      </c>
    </row>
    <row r="278" spans="1:9" x14ac:dyDescent="0.25">
      <c r="A278" s="3">
        <v>60</v>
      </c>
      <c r="B278" s="2">
        <v>0.71530000000000005</v>
      </c>
      <c r="C278" s="2">
        <v>5.1299999999999998E-2</v>
      </c>
      <c r="D278" s="2">
        <v>0.1196</v>
      </c>
      <c r="E278" s="2">
        <v>3.4299999999999997E-2</v>
      </c>
      <c r="F278" s="2">
        <v>0.14050000000000001</v>
      </c>
      <c r="G278" s="2">
        <v>4.2799999999999998E-2</v>
      </c>
      <c r="H278" s="2">
        <v>2.46E-2</v>
      </c>
      <c r="I278" s="2">
        <v>1.35E-2</v>
      </c>
    </row>
    <row r="279" spans="1:9" x14ac:dyDescent="0.25">
      <c r="A279" s="3">
        <v>61</v>
      </c>
      <c r="B279" s="2">
        <v>0.71679999999999999</v>
      </c>
      <c r="C279" s="2">
        <v>5.2400000000000002E-2</v>
      </c>
      <c r="D279" s="2">
        <v>0.11849999999999999</v>
      </c>
      <c r="E279" s="2">
        <v>3.49E-2</v>
      </c>
      <c r="F279" s="2">
        <v>0.1399</v>
      </c>
      <c r="G279" s="2">
        <v>4.3700000000000003E-2</v>
      </c>
      <c r="H279" s="2">
        <v>2.4899999999999999E-2</v>
      </c>
      <c r="I279" s="2">
        <v>1.4E-2</v>
      </c>
    </row>
    <row r="280" spans="1:9" x14ac:dyDescent="0.25">
      <c r="A280" s="3">
        <v>62</v>
      </c>
      <c r="B280" s="2">
        <v>0.71819999999999995</v>
      </c>
      <c r="C280" s="2">
        <v>5.3499999999999999E-2</v>
      </c>
      <c r="D280" s="2">
        <v>0.1173</v>
      </c>
      <c r="E280" s="2">
        <v>3.5400000000000001E-2</v>
      </c>
      <c r="F280" s="2">
        <v>0.1394</v>
      </c>
      <c r="G280" s="2">
        <v>4.4600000000000001E-2</v>
      </c>
      <c r="H280" s="2">
        <v>2.5100000000000001E-2</v>
      </c>
      <c r="I280" s="2">
        <v>1.4500000000000001E-2</v>
      </c>
    </row>
    <row r="281" spans="1:9" x14ac:dyDescent="0.25">
      <c r="A281" s="3">
        <v>64</v>
      </c>
      <c r="B281" s="2">
        <v>0.72099999999999997</v>
      </c>
      <c r="C281" s="2">
        <v>5.5599999999999997E-2</v>
      </c>
      <c r="D281" s="2">
        <v>0.11509999999999999</v>
      </c>
      <c r="E281" s="2">
        <v>3.6400000000000002E-2</v>
      </c>
      <c r="F281" s="2">
        <v>0.13830000000000001</v>
      </c>
      <c r="G281" s="2">
        <v>4.6399999999999997E-2</v>
      </c>
      <c r="H281" s="2">
        <v>2.5700000000000001E-2</v>
      </c>
      <c r="I281" s="2">
        <v>1.55E-2</v>
      </c>
    </row>
    <row r="282" spans="1:9" x14ac:dyDescent="0.25">
      <c r="A282" s="3">
        <v>65</v>
      </c>
      <c r="B282" s="2">
        <v>0.72240000000000004</v>
      </c>
      <c r="C282" s="2">
        <v>5.67E-2</v>
      </c>
      <c r="D282" s="2">
        <v>0.114</v>
      </c>
      <c r="E282" s="2">
        <v>3.6799999999999999E-2</v>
      </c>
      <c r="F282" s="2">
        <v>0.13769999999999999</v>
      </c>
      <c r="G282" s="2">
        <v>4.7300000000000002E-2</v>
      </c>
      <c r="H282" s="2">
        <v>2.5899999999999999E-2</v>
      </c>
      <c r="I282" s="2">
        <v>1.6E-2</v>
      </c>
    </row>
    <row r="283" spans="1:9" x14ac:dyDescent="0.25">
      <c r="A283" s="3">
        <v>67</v>
      </c>
      <c r="B283" s="2">
        <v>0.72509999999999997</v>
      </c>
      <c r="C283" s="2">
        <v>5.8799999999999998E-2</v>
      </c>
      <c r="D283" s="2">
        <v>0.1118</v>
      </c>
      <c r="E283" s="2">
        <v>3.78E-2</v>
      </c>
      <c r="F283" s="2">
        <v>0.1366</v>
      </c>
      <c r="G283" s="2">
        <v>4.9000000000000002E-2</v>
      </c>
      <c r="H283" s="2">
        <v>2.6499999999999999E-2</v>
      </c>
      <c r="I283" s="2">
        <v>1.7100000000000001E-2</v>
      </c>
    </row>
    <row r="284" spans="1:9" x14ac:dyDescent="0.25">
      <c r="A284" s="3">
        <v>69</v>
      </c>
      <c r="B284" s="2">
        <v>0.7278</v>
      </c>
      <c r="C284" s="2">
        <v>6.0900000000000003E-2</v>
      </c>
      <c r="D284" s="2">
        <v>0.1096</v>
      </c>
      <c r="E284" s="2">
        <v>3.8699999999999998E-2</v>
      </c>
      <c r="F284" s="2">
        <v>0.13550000000000001</v>
      </c>
      <c r="G284" s="2">
        <v>5.0799999999999998E-2</v>
      </c>
      <c r="H284" s="2">
        <v>2.7099999999999999E-2</v>
      </c>
      <c r="I284" s="2">
        <v>1.83E-2</v>
      </c>
    </row>
    <row r="285" spans="1:9" x14ac:dyDescent="0.25">
      <c r="A285" s="38"/>
      <c r="B285" s="39"/>
      <c r="C285" s="39"/>
      <c r="D285" s="39"/>
      <c r="E285" s="39"/>
      <c r="F285" s="39"/>
      <c r="G285" s="39"/>
      <c r="H285" s="39"/>
      <c r="I285" s="40"/>
    </row>
    <row r="286" spans="1:9" x14ac:dyDescent="0.25">
      <c r="A286" s="2"/>
      <c r="B286" s="35" t="s">
        <v>116</v>
      </c>
      <c r="C286" s="36"/>
      <c r="D286" s="36"/>
      <c r="E286" s="36"/>
      <c r="F286" s="36"/>
      <c r="G286" s="36"/>
      <c r="H286" s="36"/>
      <c r="I286" s="37"/>
    </row>
    <row r="287" spans="1:9" x14ac:dyDescent="0.25">
      <c r="A287" s="3" t="s">
        <v>110</v>
      </c>
      <c r="B287" s="3" t="s">
        <v>88</v>
      </c>
      <c r="C287" s="3" t="s">
        <v>105</v>
      </c>
      <c r="D287" s="3" t="s">
        <v>90</v>
      </c>
      <c r="E287" s="3" t="s">
        <v>105</v>
      </c>
      <c r="F287" s="3" t="s">
        <v>91</v>
      </c>
      <c r="G287" s="3" t="s">
        <v>105</v>
      </c>
      <c r="H287" s="3" t="s">
        <v>92</v>
      </c>
      <c r="I287" s="3" t="s">
        <v>105</v>
      </c>
    </row>
    <row r="288" spans="1:9" x14ac:dyDescent="0.25">
      <c r="A288" s="3">
        <v>1</v>
      </c>
      <c r="B288" s="2">
        <v>0.9526</v>
      </c>
      <c r="C288" s="2" t="s">
        <v>11</v>
      </c>
      <c r="D288" s="2">
        <v>3.7499999999999999E-2</v>
      </c>
      <c r="E288" s="2" t="s">
        <v>11</v>
      </c>
      <c r="F288" s="2">
        <v>9.4000000000000004E-3</v>
      </c>
      <c r="G288" s="2" t="s">
        <v>11</v>
      </c>
      <c r="H288" s="2">
        <v>5.0000000000000001E-4</v>
      </c>
      <c r="I288" s="2" t="s">
        <v>11</v>
      </c>
    </row>
    <row r="289" spans="1:9" x14ac:dyDescent="0.25">
      <c r="A289" s="3">
        <v>2</v>
      </c>
      <c r="B289" s="2">
        <v>0.1474</v>
      </c>
      <c r="C289" s="2" t="s">
        <v>11</v>
      </c>
      <c r="D289" s="2">
        <v>0.80169999999999997</v>
      </c>
      <c r="E289" s="2" t="s">
        <v>11</v>
      </c>
      <c r="F289" s="2">
        <v>5.0700000000000002E-2</v>
      </c>
      <c r="G289" s="2" t="s">
        <v>11</v>
      </c>
      <c r="H289" s="2">
        <v>2.0000000000000001E-4</v>
      </c>
      <c r="I289" s="2" t="s">
        <v>11</v>
      </c>
    </row>
    <row r="290" spans="1:9" x14ac:dyDescent="0.25">
      <c r="A290" s="3">
        <v>3</v>
      </c>
      <c r="B290" s="2">
        <v>3.8800000000000001E-2</v>
      </c>
      <c r="C290" s="2" t="s">
        <v>11</v>
      </c>
      <c r="D290" s="2">
        <v>5.3100000000000001E-2</v>
      </c>
      <c r="E290" s="2" t="s">
        <v>11</v>
      </c>
      <c r="F290" s="2">
        <v>0.90500000000000003</v>
      </c>
      <c r="G290" s="2" t="s">
        <v>11</v>
      </c>
      <c r="H290" s="2">
        <v>3.0999999999999999E-3</v>
      </c>
      <c r="I290" s="2" t="s">
        <v>11</v>
      </c>
    </row>
    <row r="291" spans="1:9" x14ac:dyDescent="0.25">
      <c r="A291" s="3">
        <v>4</v>
      </c>
      <c r="B291" s="2">
        <v>1.9300000000000001E-2</v>
      </c>
      <c r="C291" s="2" t="s">
        <v>11</v>
      </c>
      <c r="D291" s="2">
        <v>2E-3</v>
      </c>
      <c r="E291" s="2" t="s">
        <v>11</v>
      </c>
      <c r="F291" s="2">
        <v>2.93E-2</v>
      </c>
      <c r="G291" s="2" t="s">
        <v>11</v>
      </c>
      <c r="H291" s="2">
        <v>0.94940000000000002</v>
      </c>
      <c r="I291" s="2" t="s">
        <v>11</v>
      </c>
    </row>
  </sheetData>
  <mergeCells count="5">
    <mergeCell ref="A3:F3"/>
    <mergeCell ref="B69:F69"/>
    <mergeCell ref="B218:I218"/>
    <mergeCell ref="A285:I285"/>
    <mergeCell ref="B286:I286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P214"/>
  <sheetViews>
    <sheetView topLeftCell="A169" workbookViewId="0">
      <selection activeCell="B204" sqref="B204"/>
    </sheetView>
  </sheetViews>
  <sheetFormatPr defaultRowHeight="15" x14ac:dyDescent="0.25"/>
  <cols>
    <col min="1" max="4" width="35.140625" customWidth="1"/>
  </cols>
  <sheetData>
    <row r="1" spans="1:6" ht="18.75" x14ac:dyDescent="0.25">
      <c r="A1" s="1" t="s">
        <v>140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13400</v>
      </c>
      <c r="C5" s="2"/>
      <c r="D5" s="2"/>
      <c r="E5" s="2"/>
      <c r="F5" s="2"/>
    </row>
    <row r="6" spans="1:6" x14ac:dyDescent="0.25">
      <c r="A6" s="3" t="s">
        <v>2</v>
      </c>
      <c r="B6" s="2">
        <v>12</v>
      </c>
      <c r="C6" s="2"/>
      <c r="D6" s="2"/>
      <c r="E6" s="2"/>
      <c r="F6" s="2"/>
    </row>
    <row r="7" spans="1:6" x14ac:dyDescent="0.25">
      <c r="A7" s="3" t="s">
        <v>3</v>
      </c>
      <c r="B7" s="2">
        <v>11.3619</v>
      </c>
      <c r="C7" s="2"/>
      <c r="D7" s="2"/>
      <c r="E7" s="2"/>
      <c r="F7" s="2"/>
    </row>
    <row r="8" spans="1:6" x14ac:dyDescent="0.25">
      <c r="A8" s="3" t="s">
        <v>4</v>
      </c>
      <c r="B8" s="2">
        <v>11.3619</v>
      </c>
      <c r="C8" s="2"/>
      <c r="D8" s="2"/>
      <c r="E8" s="2"/>
      <c r="F8" s="2"/>
    </row>
    <row r="9" spans="1:6" x14ac:dyDescent="0.25">
      <c r="A9" s="3" t="s">
        <v>5</v>
      </c>
      <c r="B9" s="2">
        <v>324203</v>
      </c>
      <c r="C9" s="2"/>
      <c r="D9" s="2"/>
      <c r="E9" s="2"/>
      <c r="F9" s="2"/>
    </row>
    <row r="10" spans="1:6" x14ac:dyDescent="0.25">
      <c r="A10" s="3" t="s">
        <v>6</v>
      </c>
      <c r="B10" s="2">
        <v>324203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-12483.4568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-12483.4568</v>
      </c>
      <c r="C27" s="2"/>
      <c r="D27" s="2"/>
      <c r="E27" s="2"/>
      <c r="F27" s="2"/>
    </row>
    <row r="28" spans="1:6" x14ac:dyDescent="0.25">
      <c r="A28" s="3" t="s">
        <v>24</v>
      </c>
      <c r="B28" s="2">
        <v>25080.949700000001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24990.9136</v>
      </c>
      <c r="C29" s="2"/>
      <c r="D29" s="2"/>
      <c r="E29" s="2"/>
      <c r="F29" s="2"/>
    </row>
    <row r="30" spans="1:6" x14ac:dyDescent="0.25">
      <c r="A30" s="3" t="s">
        <v>26</v>
      </c>
      <c r="B30" s="2">
        <v>25002.9136</v>
      </c>
      <c r="C30" s="2"/>
      <c r="D30" s="2"/>
      <c r="E30" s="2"/>
      <c r="F30" s="2"/>
    </row>
    <row r="31" spans="1:6" x14ac:dyDescent="0.25">
      <c r="A31" s="3" t="s">
        <v>27</v>
      </c>
      <c r="B31" s="2">
        <v>25092.949700000001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25042.814900000001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0.34279999999999999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4.5999999999999999E-3</v>
      </c>
      <c r="C38" s="2"/>
      <c r="D38" s="2"/>
      <c r="E38" s="2"/>
      <c r="F38" s="2"/>
    </row>
    <row r="39" spans="1:6" x14ac:dyDescent="0.25">
      <c r="A39" s="3" t="s">
        <v>33</v>
      </c>
      <c r="B39" s="2">
        <v>5.3E-3</v>
      </c>
      <c r="C39" s="2"/>
      <c r="D39" s="2"/>
      <c r="E39" s="2"/>
      <c r="F39" s="2"/>
    </row>
    <row r="40" spans="1:6" x14ac:dyDescent="0.25">
      <c r="A40" s="3" t="s">
        <v>34</v>
      </c>
      <c r="B40" s="2">
        <v>-24955.732800000002</v>
      </c>
      <c r="C40" s="2"/>
      <c r="D40" s="2"/>
      <c r="E40" s="2"/>
      <c r="F40" s="2"/>
    </row>
    <row r="41" spans="1:6" x14ac:dyDescent="0.25">
      <c r="A41" s="3" t="s">
        <v>35</v>
      </c>
      <c r="B41" s="2">
        <v>12472.276</v>
      </c>
      <c r="C41" s="2"/>
      <c r="D41" s="2"/>
      <c r="E41" s="2"/>
      <c r="F41" s="2"/>
    </row>
    <row r="42" spans="1:6" x14ac:dyDescent="0.25">
      <c r="A42" s="3" t="s">
        <v>36</v>
      </c>
      <c r="B42" s="2">
        <v>49911.465600000003</v>
      </c>
      <c r="C42" s="2"/>
      <c r="D42" s="2"/>
      <c r="E42" s="2"/>
      <c r="F42" s="2"/>
    </row>
    <row r="43" spans="1:6" x14ac:dyDescent="0.25">
      <c r="A43" s="3" t="s">
        <v>37</v>
      </c>
      <c r="B43" s="2">
        <v>50175.537900000003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50025.501799999998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8806.5157999999992</v>
      </c>
      <c r="C48" s="2">
        <v>0</v>
      </c>
      <c r="D48" s="2">
        <v>0</v>
      </c>
      <c r="E48" s="2">
        <v>0</v>
      </c>
      <c r="F48" s="2">
        <v>8806.5157999999992</v>
      </c>
    </row>
    <row r="49" spans="1:6" x14ac:dyDescent="0.25">
      <c r="A49" s="3" t="s">
        <v>43</v>
      </c>
      <c r="B49" s="2">
        <v>2225.1707999999999</v>
      </c>
      <c r="C49" s="2">
        <v>0</v>
      </c>
      <c r="D49" s="2">
        <v>0</v>
      </c>
      <c r="E49" s="2">
        <v>0</v>
      </c>
      <c r="F49" s="2">
        <v>2225.1707999999999</v>
      </c>
    </row>
    <row r="50" spans="1:6" x14ac:dyDescent="0.25">
      <c r="A50" s="3" t="s">
        <v>44</v>
      </c>
      <c r="B50" s="2">
        <v>2147.8040999999998</v>
      </c>
      <c r="C50" s="2">
        <v>0</v>
      </c>
      <c r="D50" s="2">
        <v>0</v>
      </c>
      <c r="E50" s="2">
        <v>0</v>
      </c>
      <c r="F50" s="2">
        <v>2147.8040999999998</v>
      </c>
    </row>
    <row r="51" spans="1:6" x14ac:dyDescent="0.25">
      <c r="A51" s="3" t="s">
        <v>45</v>
      </c>
      <c r="B51" s="2">
        <v>220.5093</v>
      </c>
      <c r="C51" s="2">
        <v>0</v>
      </c>
      <c r="D51" s="2">
        <v>0</v>
      </c>
      <c r="E51" s="2">
        <v>0</v>
      </c>
      <c r="F51" s="2">
        <v>220.5093</v>
      </c>
    </row>
    <row r="52" spans="1:6" x14ac:dyDescent="0.25">
      <c r="A52" s="3" t="s">
        <v>46</v>
      </c>
      <c r="B52" s="2">
        <v>13400</v>
      </c>
      <c r="C52" s="2">
        <v>0</v>
      </c>
      <c r="D52" s="2">
        <v>0</v>
      </c>
      <c r="E52" s="2">
        <v>0</v>
      </c>
      <c r="F52" s="2">
        <v>13400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5811.4207999999999</v>
      </c>
      <c r="C56" s="2">
        <v>1455.6220000000001</v>
      </c>
      <c r="D56" s="2">
        <v>1395.6142</v>
      </c>
      <c r="E56" s="2">
        <v>143.8588</v>
      </c>
      <c r="F56" s="2">
        <v>8806.5157999999992</v>
      </c>
    </row>
    <row r="57" spans="1:6" x14ac:dyDescent="0.25">
      <c r="A57" s="3" t="s">
        <v>43</v>
      </c>
      <c r="B57" s="2">
        <v>1455.6220000000001</v>
      </c>
      <c r="C57" s="2">
        <v>371.54340000000002</v>
      </c>
      <c r="D57" s="2">
        <v>361.07650000000001</v>
      </c>
      <c r="E57" s="2">
        <v>36.928899999999999</v>
      </c>
      <c r="F57" s="2">
        <v>2225.1707999999999</v>
      </c>
    </row>
    <row r="58" spans="1:6" x14ac:dyDescent="0.25">
      <c r="A58" s="3" t="s">
        <v>44</v>
      </c>
      <c r="B58" s="2">
        <v>1395.6142</v>
      </c>
      <c r="C58" s="2">
        <v>361.07650000000001</v>
      </c>
      <c r="D58" s="2">
        <v>355.17219999999998</v>
      </c>
      <c r="E58" s="2">
        <v>35.941200000000002</v>
      </c>
      <c r="F58" s="2">
        <v>2147.8040999999998</v>
      </c>
    </row>
    <row r="59" spans="1:6" x14ac:dyDescent="0.25">
      <c r="A59" s="3" t="s">
        <v>45</v>
      </c>
      <c r="B59" s="2">
        <v>143.8588</v>
      </c>
      <c r="C59" s="2">
        <v>36.928899999999999</v>
      </c>
      <c r="D59" s="2">
        <v>35.941200000000002</v>
      </c>
      <c r="E59" s="2">
        <v>3.7804000000000002</v>
      </c>
      <c r="F59" s="2">
        <v>220.5093</v>
      </c>
    </row>
    <row r="60" spans="1:6" x14ac:dyDescent="0.25">
      <c r="A60" s="3" t="s">
        <v>46</v>
      </c>
      <c r="B60" s="2">
        <v>8806.5157999999992</v>
      </c>
      <c r="C60" s="2">
        <v>2225.1707999999999</v>
      </c>
      <c r="D60" s="2">
        <v>2147.8040999999998</v>
      </c>
      <c r="E60" s="2">
        <v>220.5093</v>
      </c>
      <c r="F60" s="2">
        <v>13400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0.34279999999999999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4.5999999999999999E-3</v>
      </c>
      <c r="C65" s="2"/>
      <c r="D65" s="2"/>
      <c r="E65" s="2"/>
      <c r="F65" s="2"/>
    </row>
    <row r="66" spans="1:6" x14ac:dyDescent="0.25">
      <c r="A66" s="3" t="s">
        <v>33</v>
      </c>
      <c r="B66" s="2">
        <v>5.3E-3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157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13400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158</v>
      </c>
      <c r="B140" s="2" t="s">
        <v>95</v>
      </c>
      <c r="C140" s="2">
        <v>4</v>
      </c>
      <c r="D140" s="2"/>
      <c r="E140" s="2"/>
      <c r="F140" s="2"/>
    </row>
    <row r="141" spans="1:6" x14ac:dyDescent="0.25">
      <c r="A141" s="3" t="s">
        <v>159</v>
      </c>
      <c r="B141" s="2">
        <v>1</v>
      </c>
      <c r="C141" s="2"/>
      <c r="D141" s="2"/>
      <c r="E141" s="2"/>
      <c r="F141" s="2"/>
    </row>
    <row r="142" spans="1:6" x14ac:dyDescent="0.25">
      <c r="A142" s="3" t="s">
        <v>160</v>
      </c>
      <c r="B142" s="2">
        <v>2</v>
      </c>
      <c r="C142" s="2"/>
      <c r="D142" s="2"/>
      <c r="E142" s="2"/>
      <c r="F142" s="2"/>
    </row>
    <row r="143" spans="1:6" x14ac:dyDescent="0.25">
      <c r="A143" s="3" t="s">
        <v>161</v>
      </c>
      <c r="B143" s="2">
        <v>3</v>
      </c>
      <c r="C143" s="2"/>
      <c r="D143" s="2"/>
      <c r="E143" s="2"/>
      <c r="F143" s="2"/>
    </row>
    <row r="144" spans="1:6" x14ac:dyDescent="0.25">
      <c r="A144" s="3" t="s">
        <v>162</v>
      </c>
      <c r="B144" s="2">
        <v>4</v>
      </c>
      <c r="C144" s="2"/>
      <c r="D144" s="2"/>
      <c r="E144" s="2"/>
      <c r="F144" s="2"/>
    </row>
    <row r="146" spans="1:16" ht="18.75" x14ac:dyDescent="0.25">
      <c r="A146" s="1" t="s">
        <v>102</v>
      </c>
    </row>
    <row r="148" spans="1:16" x14ac:dyDescent="0.25">
      <c r="A148" s="3" t="s">
        <v>103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3" t="s">
        <v>104</v>
      </c>
      <c r="B149" s="3" t="s">
        <v>42</v>
      </c>
      <c r="C149" s="3" t="s">
        <v>105</v>
      </c>
      <c r="D149" s="3" t="s">
        <v>123</v>
      </c>
      <c r="E149" s="3" t="s">
        <v>43</v>
      </c>
      <c r="F149" s="3" t="s">
        <v>105</v>
      </c>
      <c r="G149" s="3" t="s">
        <v>123</v>
      </c>
      <c r="H149" s="3" t="s">
        <v>44</v>
      </c>
      <c r="I149" s="3" t="s">
        <v>105</v>
      </c>
      <c r="J149" s="3" t="s">
        <v>123</v>
      </c>
      <c r="K149" s="3" t="s">
        <v>45</v>
      </c>
      <c r="L149" s="3" t="s">
        <v>105</v>
      </c>
      <c r="M149" s="3" t="s">
        <v>123</v>
      </c>
      <c r="N149" s="3" t="s">
        <v>106</v>
      </c>
      <c r="O149" s="3" t="s">
        <v>9</v>
      </c>
      <c r="P149" s="2"/>
    </row>
    <row r="150" spans="1:16" x14ac:dyDescent="0.25">
      <c r="A150" s="3"/>
      <c r="B150" s="2">
        <v>1.3833</v>
      </c>
      <c r="C150" s="2">
        <v>0.1099</v>
      </c>
      <c r="D150" s="2">
        <v>12.5886</v>
      </c>
      <c r="E150" s="2">
        <v>0.26919999999999999</v>
      </c>
      <c r="F150" s="2">
        <v>0.1273</v>
      </c>
      <c r="G150" s="2">
        <v>2.1151</v>
      </c>
      <c r="H150" s="2">
        <v>0.3468</v>
      </c>
      <c r="I150" s="2">
        <v>0.1328</v>
      </c>
      <c r="J150" s="2">
        <v>2.6120000000000001</v>
      </c>
      <c r="K150" s="2">
        <v>-1.9993000000000001</v>
      </c>
      <c r="L150" s="2">
        <v>0.26679999999999998</v>
      </c>
      <c r="M150" s="2">
        <v>-7.4935999999999998</v>
      </c>
      <c r="N150" s="2">
        <v>171.79750000000001</v>
      </c>
      <c r="O150" s="4">
        <v>5.1999999999999996E-37</v>
      </c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107</v>
      </c>
      <c r="B152" s="3" t="s">
        <v>42</v>
      </c>
      <c r="C152" s="3" t="s">
        <v>105</v>
      </c>
      <c r="D152" s="3" t="s">
        <v>123</v>
      </c>
      <c r="E152" s="3" t="s">
        <v>43</v>
      </c>
      <c r="F152" s="3" t="s">
        <v>105</v>
      </c>
      <c r="G152" s="3" t="s">
        <v>123</v>
      </c>
      <c r="H152" s="3" t="s">
        <v>44</v>
      </c>
      <c r="I152" s="3" t="s">
        <v>105</v>
      </c>
      <c r="J152" s="3" t="s">
        <v>123</v>
      </c>
      <c r="K152" s="3" t="s">
        <v>45</v>
      </c>
      <c r="L152" s="3" t="s">
        <v>105</v>
      </c>
      <c r="M152" s="3" t="s">
        <v>123</v>
      </c>
      <c r="N152" s="3" t="s">
        <v>106</v>
      </c>
      <c r="O152" s="3" t="s">
        <v>9</v>
      </c>
      <c r="P152" s="2"/>
    </row>
    <row r="153" spans="1:16" x14ac:dyDescent="0.25">
      <c r="A153" s="3" t="s">
        <v>158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3" t="s">
        <v>159</v>
      </c>
      <c r="B154" s="2">
        <v>0.30890000000000001</v>
      </c>
      <c r="C154" s="2">
        <v>0.14099999999999999</v>
      </c>
      <c r="D154" s="2">
        <v>2.1913</v>
      </c>
      <c r="E154" s="2">
        <v>-7.0000000000000001E-3</v>
      </c>
      <c r="F154" s="2">
        <v>0.1671</v>
      </c>
      <c r="G154" s="2">
        <v>-4.1799999999999997E-2</v>
      </c>
      <c r="H154" s="2">
        <v>-0.13200000000000001</v>
      </c>
      <c r="I154" s="2">
        <v>0.17019999999999999</v>
      </c>
      <c r="J154" s="2">
        <v>-0.77590000000000003</v>
      </c>
      <c r="K154" s="2">
        <v>-0.1699</v>
      </c>
      <c r="L154" s="2">
        <v>0.34510000000000002</v>
      </c>
      <c r="M154" s="2">
        <v>-0.49220000000000003</v>
      </c>
      <c r="N154" s="2">
        <v>15.346299999999999</v>
      </c>
      <c r="O154" s="2">
        <v>8.2000000000000003E-2</v>
      </c>
      <c r="P154" s="2"/>
    </row>
    <row r="155" spans="1:16" x14ac:dyDescent="0.25">
      <c r="A155" s="3" t="s">
        <v>160</v>
      </c>
      <c r="B155" s="2">
        <v>0.2087</v>
      </c>
      <c r="C155" s="2">
        <v>0.14319999999999999</v>
      </c>
      <c r="D155" s="2">
        <v>1.4572000000000001</v>
      </c>
      <c r="E155" s="2">
        <v>-3.6200000000000003E-2</v>
      </c>
      <c r="F155" s="2">
        <v>0.17419999999999999</v>
      </c>
      <c r="G155" s="2">
        <v>-0.20760000000000001</v>
      </c>
      <c r="H155" s="2">
        <v>-0.21959999999999999</v>
      </c>
      <c r="I155" s="2">
        <v>0.1741</v>
      </c>
      <c r="J155" s="2">
        <v>-1.2615000000000001</v>
      </c>
      <c r="K155" s="2">
        <v>4.7E-2</v>
      </c>
      <c r="L155" s="2">
        <v>0.3367</v>
      </c>
      <c r="M155" s="2">
        <v>0.13969999999999999</v>
      </c>
      <c r="N155" s="2"/>
      <c r="O155" s="2"/>
      <c r="P155" s="2"/>
    </row>
    <row r="156" spans="1:16" x14ac:dyDescent="0.25">
      <c r="A156" s="3" t="s">
        <v>161</v>
      </c>
      <c r="B156" s="2">
        <v>-2.3800000000000002E-2</v>
      </c>
      <c r="C156" s="2">
        <v>0.21679999999999999</v>
      </c>
      <c r="D156" s="2">
        <v>-0.1099</v>
      </c>
      <c r="E156" s="2">
        <v>-0.11609999999999999</v>
      </c>
      <c r="F156" s="2">
        <v>0.24629999999999999</v>
      </c>
      <c r="G156" s="2">
        <v>-0.47149999999999997</v>
      </c>
      <c r="H156" s="2">
        <v>-6.3200000000000006E-2</v>
      </c>
      <c r="I156" s="2">
        <v>0.2505</v>
      </c>
      <c r="J156" s="2">
        <v>-0.25230000000000002</v>
      </c>
      <c r="K156" s="2">
        <v>0.2031</v>
      </c>
      <c r="L156" s="2">
        <v>0.53659999999999997</v>
      </c>
      <c r="M156" s="2">
        <v>0.37859999999999999</v>
      </c>
      <c r="N156" s="2"/>
      <c r="O156" s="2"/>
      <c r="P156" s="2"/>
    </row>
    <row r="157" spans="1:16" x14ac:dyDescent="0.25">
      <c r="A157" s="3" t="s">
        <v>162</v>
      </c>
      <c r="B157" s="2">
        <v>-0.49380000000000002</v>
      </c>
      <c r="C157" s="2">
        <v>0.24249999999999999</v>
      </c>
      <c r="D157" s="2">
        <v>-2.0365000000000002</v>
      </c>
      <c r="E157" s="2">
        <v>0.1593</v>
      </c>
      <c r="F157" s="2">
        <v>0.26989999999999997</v>
      </c>
      <c r="G157" s="2">
        <v>0.59</v>
      </c>
      <c r="H157" s="2">
        <v>0.4148</v>
      </c>
      <c r="I157" s="2">
        <v>0.3014</v>
      </c>
      <c r="J157" s="2">
        <v>1.3764000000000001</v>
      </c>
      <c r="K157" s="2">
        <v>-8.0299999999999996E-2</v>
      </c>
      <c r="L157" s="2">
        <v>0.57540000000000002</v>
      </c>
      <c r="M157" s="2">
        <v>-0.1396</v>
      </c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60" spans="1:16" ht="18.75" x14ac:dyDescent="0.25">
      <c r="A160" s="1" t="s">
        <v>108</v>
      </c>
    </row>
    <row r="162" spans="1:6" x14ac:dyDescent="0.25">
      <c r="A162" s="3" t="s">
        <v>103</v>
      </c>
      <c r="B162" s="3"/>
      <c r="C162" s="3"/>
      <c r="D162" s="3" t="s">
        <v>106</v>
      </c>
      <c r="E162" s="3" t="s">
        <v>109</v>
      </c>
      <c r="F162" s="3" t="s">
        <v>9</v>
      </c>
    </row>
    <row r="163" spans="1:6" x14ac:dyDescent="0.25">
      <c r="A163" s="3" t="s">
        <v>104</v>
      </c>
      <c r="B163" s="2"/>
      <c r="C163" s="2"/>
      <c r="D163" s="2"/>
      <c r="E163" s="2"/>
      <c r="F163" s="2"/>
    </row>
    <row r="164" spans="1:6" x14ac:dyDescent="0.25">
      <c r="A164" s="3" t="s">
        <v>110</v>
      </c>
      <c r="B164" s="3">
        <v>1</v>
      </c>
      <c r="C164" s="3">
        <v>2</v>
      </c>
      <c r="D164" s="2">
        <v>73.231200000000001</v>
      </c>
      <c r="E164" s="2">
        <v>1</v>
      </c>
      <c r="F164" s="4">
        <v>1.1999999999999999E-17</v>
      </c>
    </row>
    <row r="165" spans="1:6" x14ac:dyDescent="0.25">
      <c r="A165" s="3" t="s">
        <v>110</v>
      </c>
      <c r="B165" s="3">
        <v>1</v>
      </c>
      <c r="C165" s="3">
        <v>3</v>
      </c>
      <c r="D165" s="2">
        <v>53.494999999999997</v>
      </c>
      <c r="E165" s="2">
        <v>1</v>
      </c>
      <c r="F165" s="4">
        <v>2.6E-13</v>
      </c>
    </row>
    <row r="166" spans="1:6" x14ac:dyDescent="0.25">
      <c r="A166" s="3" t="s">
        <v>110</v>
      </c>
      <c r="B166" s="3">
        <v>1</v>
      </c>
      <c r="C166" s="3">
        <v>4</v>
      </c>
      <c r="D166" s="2">
        <v>89.152199999999993</v>
      </c>
      <c r="E166" s="2">
        <v>1</v>
      </c>
      <c r="F166" s="4">
        <v>3.7000000000000002E-21</v>
      </c>
    </row>
    <row r="167" spans="1:6" x14ac:dyDescent="0.25">
      <c r="A167" s="3" t="s">
        <v>110</v>
      </c>
      <c r="B167" s="3">
        <v>2</v>
      </c>
      <c r="C167" s="3">
        <v>3</v>
      </c>
      <c r="D167" s="2">
        <v>0.2044</v>
      </c>
      <c r="E167" s="2">
        <v>1</v>
      </c>
      <c r="F167" s="2">
        <v>0.65</v>
      </c>
    </row>
    <row r="168" spans="1:6" x14ac:dyDescent="0.25">
      <c r="A168" s="3" t="s">
        <v>110</v>
      </c>
      <c r="B168" s="3">
        <v>2</v>
      </c>
      <c r="C168" s="3">
        <v>4</v>
      </c>
      <c r="D168" s="2">
        <v>37.994</v>
      </c>
      <c r="E168" s="2">
        <v>1</v>
      </c>
      <c r="F168" s="4">
        <v>7.1000000000000003E-10</v>
      </c>
    </row>
    <row r="169" spans="1:6" x14ac:dyDescent="0.25">
      <c r="A169" s="3" t="s">
        <v>110</v>
      </c>
      <c r="B169" s="3">
        <v>3</v>
      </c>
      <c r="C169" s="3">
        <v>4</v>
      </c>
      <c r="D169" s="2">
        <v>39.877000000000002</v>
      </c>
      <c r="E169" s="2">
        <v>1</v>
      </c>
      <c r="F169" s="4">
        <v>2.7E-10</v>
      </c>
    </row>
    <row r="170" spans="1:6" x14ac:dyDescent="0.25">
      <c r="A170" s="3" t="s">
        <v>158</v>
      </c>
      <c r="B170" s="2"/>
      <c r="C170" s="2"/>
      <c r="D170" s="2"/>
      <c r="E170" s="2"/>
      <c r="F170" s="2"/>
    </row>
    <row r="171" spans="1:6" x14ac:dyDescent="0.25">
      <c r="A171" s="3" t="s">
        <v>110</v>
      </c>
      <c r="B171" s="3">
        <v>1</v>
      </c>
      <c r="C171" s="3">
        <v>2</v>
      </c>
      <c r="D171" s="2">
        <v>7.2117000000000004</v>
      </c>
      <c r="E171" s="2">
        <v>3</v>
      </c>
      <c r="F171" s="2">
        <v>6.5000000000000002E-2</v>
      </c>
    </row>
    <row r="172" spans="1:6" x14ac:dyDescent="0.25">
      <c r="A172" s="3" t="s">
        <v>110</v>
      </c>
      <c r="B172" s="3">
        <v>1</v>
      </c>
      <c r="C172" s="3">
        <v>3</v>
      </c>
      <c r="D172" s="2">
        <v>10.185499999999999</v>
      </c>
      <c r="E172" s="2">
        <v>3</v>
      </c>
      <c r="F172" s="2">
        <v>1.7000000000000001E-2</v>
      </c>
    </row>
    <row r="173" spans="1:6" x14ac:dyDescent="0.25">
      <c r="A173" s="3" t="s">
        <v>110</v>
      </c>
      <c r="B173" s="3">
        <v>1</v>
      </c>
      <c r="C173" s="3">
        <v>4</v>
      </c>
      <c r="D173" s="2">
        <v>1.0893999999999999</v>
      </c>
      <c r="E173" s="2">
        <v>3</v>
      </c>
      <c r="F173" s="2">
        <v>0.78</v>
      </c>
    </row>
    <row r="174" spans="1:6" x14ac:dyDescent="0.25">
      <c r="A174" s="3" t="s">
        <v>110</v>
      </c>
      <c r="B174" s="3">
        <v>2</v>
      </c>
      <c r="C174" s="3">
        <v>3</v>
      </c>
      <c r="D174" s="2">
        <v>0.83989999999999998</v>
      </c>
      <c r="E174" s="2">
        <v>3</v>
      </c>
      <c r="F174" s="2">
        <v>0.84</v>
      </c>
    </row>
    <row r="175" spans="1:6" x14ac:dyDescent="0.25">
      <c r="A175" s="3" t="s">
        <v>110</v>
      </c>
      <c r="B175" s="3">
        <v>2</v>
      </c>
      <c r="C175" s="3">
        <v>4</v>
      </c>
      <c r="D175" s="2">
        <v>0.35849999999999999</v>
      </c>
      <c r="E175" s="2">
        <v>3</v>
      </c>
      <c r="F175" s="2">
        <v>0.95</v>
      </c>
    </row>
    <row r="176" spans="1:6" x14ac:dyDescent="0.25">
      <c r="A176" s="3" t="s">
        <v>110</v>
      </c>
      <c r="B176" s="3">
        <v>3</v>
      </c>
      <c r="C176" s="3">
        <v>4</v>
      </c>
      <c r="D176" s="2">
        <v>0.64380000000000004</v>
      </c>
      <c r="E176" s="2">
        <v>3</v>
      </c>
      <c r="F176" s="2">
        <v>0.89</v>
      </c>
    </row>
    <row r="178" spans="1:9" ht="18.75" x14ac:dyDescent="0.25">
      <c r="A178" s="1" t="s">
        <v>111</v>
      </c>
    </row>
    <row r="180" spans="1:9" x14ac:dyDescent="0.25">
      <c r="A180" s="2"/>
      <c r="B180" s="3" t="s">
        <v>42</v>
      </c>
      <c r="C180" s="3" t="s">
        <v>105</v>
      </c>
      <c r="D180" s="3" t="s">
        <v>43</v>
      </c>
      <c r="E180" s="3" t="s">
        <v>105</v>
      </c>
      <c r="F180" s="3" t="s">
        <v>44</v>
      </c>
      <c r="G180" s="3" t="s">
        <v>105</v>
      </c>
      <c r="H180" s="3" t="s">
        <v>45</v>
      </c>
      <c r="I180" s="3" t="s">
        <v>105</v>
      </c>
    </row>
    <row r="181" spans="1:9" x14ac:dyDescent="0.25">
      <c r="A181" s="3" t="s">
        <v>112</v>
      </c>
      <c r="B181" s="2">
        <v>0.65720000000000001</v>
      </c>
      <c r="C181" s="2">
        <v>1.9E-2</v>
      </c>
      <c r="D181" s="2">
        <v>0.1661</v>
      </c>
      <c r="E181" s="2">
        <v>1.6199999999999999E-2</v>
      </c>
      <c r="F181" s="2">
        <v>0.1603</v>
      </c>
      <c r="G181" s="2">
        <v>1.3899999999999999E-2</v>
      </c>
      <c r="H181" s="2">
        <v>1.6500000000000001E-2</v>
      </c>
      <c r="I181" s="2">
        <v>4.4999999999999997E-3</v>
      </c>
    </row>
    <row r="182" spans="1:9" x14ac:dyDescent="0.25">
      <c r="A182" s="3" t="s">
        <v>107</v>
      </c>
      <c r="B182" s="2"/>
      <c r="C182" s="2"/>
      <c r="D182" s="2"/>
      <c r="E182" s="2"/>
      <c r="F182" s="2"/>
      <c r="G182" s="2"/>
      <c r="H182" s="2"/>
      <c r="I182" s="2"/>
    </row>
    <row r="183" spans="1:9" x14ac:dyDescent="0.25">
      <c r="A183" s="3" t="s">
        <v>158</v>
      </c>
      <c r="B183" s="2"/>
      <c r="C183" s="2"/>
      <c r="D183" s="2"/>
      <c r="E183" s="2"/>
      <c r="F183" s="2"/>
      <c r="G183" s="2"/>
      <c r="H183" s="2"/>
      <c r="I183" s="2"/>
    </row>
    <row r="184" spans="1:9" x14ac:dyDescent="0.25">
      <c r="A184" s="3" t="s">
        <v>159</v>
      </c>
      <c r="B184" s="2">
        <v>0.63949999999999996</v>
      </c>
      <c r="C184" s="2" t="s">
        <v>11</v>
      </c>
      <c r="D184" s="2">
        <v>0.60560000000000003</v>
      </c>
      <c r="E184" s="2" t="s">
        <v>11</v>
      </c>
      <c r="F184" s="2">
        <v>0.59840000000000004</v>
      </c>
      <c r="G184" s="2" t="s">
        <v>11</v>
      </c>
      <c r="H184" s="2">
        <v>0.5373</v>
      </c>
      <c r="I184" s="2" t="s">
        <v>11</v>
      </c>
    </row>
    <row r="185" spans="1:9" x14ac:dyDescent="0.25">
      <c r="A185" s="3" t="s">
        <v>160</v>
      </c>
      <c r="B185" s="2">
        <v>0.28239999999999998</v>
      </c>
      <c r="C185" s="2" t="s">
        <v>11</v>
      </c>
      <c r="D185" s="2">
        <v>0.28710000000000002</v>
      </c>
      <c r="E185" s="2" t="s">
        <v>11</v>
      </c>
      <c r="F185" s="2">
        <v>0.2676</v>
      </c>
      <c r="G185" s="2" t="s">
        <v>11</v>
      </c>
      <c r="H185" s="2">
        <v>0.32579999999999998</v>
      </c>
      <c r="I185" s="2" t="s">
        <v>11</v>
      </c>
    </row>
    <row r="186" spans="1:9" x14ac:dyDescent="0.25">
      <c r="A186" s="3" t="s">
        <v>161</v>
      </c>
      <c r="B186" s="2">
        <v>6.7000000000000004E-2</v>
      </c>
      <c r="C186" s="2" t="s">
        <v>11</v>
      </c>
      <c r="D186" s="2">
        <v>7.9299999999999995E-2</v>
      </c>
      <c r="E186" s="2" t="s">
        <v>11</v>
      </c>
      <c r="F186" s="2">
        <v>9.3600000000000003E-2</v>
      </c>
      <c r="G186" s="2" t="s">
        <v>11</v>
      </c>
      <c r="H186" s="2">
        <v>0.1139</v>
      </c>
      <c r="I186" s="2" t="s">
        <v>11</v>
      </c>
    </row>
    <row r="187" spans="1:9" x14ac:dyDescent="0.25">
      <c r="A187" s="3" t="s">
        <v>162</v>
      </c>
      <c r="B187" s="2">
        <v>1.12E-2</v>
      </c>
      <c r="C187" s="2" t="s">
        <v>11</v>
      </c>
      <c r="D187" s="2">
        <v>2.8000000000000001E-2</v>
      </c>
      <c r="E187" s="2" t="s">
        <v>11</v>
      </c>
      <c r="F187" s="2">
        <v>4.0500000000000001E-2</v>
      </c>
      <c r="G187" s="2" t="s">
        <v>11</v>
      </c>
      <c r="H187" s="2">
        <v>2.3E-2</v>
      </c>
      <c r="I187" s="2" t="s">
        <v>11</v>
      </c>
    </row>
    <row r="189" spans="1:9" ht="18.75" x14ac:dyDescent="0.25">
      <c r="A189" s="1" t="s">
        <v>113</v>
      </c>
    </row>
    <row r="191" spans="1:9" x14ac:dyDescent="0.25">
      <c r="A191" s="2"/>
      <c r="B191" s="3" t="s">
        <v>42</v>
      </c>
      <c r="C191" s="3" t="s">
        <v>43</v>
      </c>
      <c r="D191" s="3" t="s">
        <v>44</v>
      </c>
      <c r="E191" s="3" t="s">
        <v>45</v>
      </c>
    </row>
    <row r="192" spans="1:9" x14ac:dyDescent="0.25">
      <c r="A192" s="3" t="s">
        <v>114</v>
      </c>
      <c r="B192" s="2">
        <v>0.65720000000000001</v>
      </c>
      <c r="C192" s="2">
        <v>0.1661</v>
      </c>
      <c r="D192" s="2">
        <v>0.1603</v>
      </c>
      <c r="E192" s="2">
        <v>1.6500000000000001E-2</v>
      </c>
    </row>
    <row r="193" spans="1:9" x14ac:dyDescent="0.25">
      <c r="A193" s="3" t="s">
        <v>107</v>
      </c>
      <c r="B193" s="2"/>
      <c r="C193" s="2"/>
      <c r="D193" s="2"/>
      <c r="E193" s="2"/>
    </row>
    <row r="194" spans="1:9" x14ac:dyDescent="0.25">
      <c r="A194" s="3" t="s">
        <v>158</v>
      </c>
      <c r="B194" s="2"/>
      <c r="C194" s="2"/>
      <c r="D194" s="2"/>
      <c r="E194" s="2"/>
    </row>
    <row r="195" spans="1:9" x14ac:dyDescent="0.25">
      <c r="A195" s="3" t="s">
        <v>159</v>
      </c>
      <c r="B195" s="2">
        <v>0.67179999999999995</v>
      </c>
      <c r="C195" s="2">
        <v>0.1608</v>
      </c>
      <c r="D195" s="2">
        <v>0.15329999999999999</v>
      </c>
      <c r="E195" s="2">
        <v>1.41E-2</v>
      </c>
    </row>
    <row r="196" spans="1:9" x14ac:dyDescent="0.25">
      <c r="A196" s="3" t="s">
        <v>160</v>
      </c>
      <c r="B196" s="2">
        <v>0.65920000000000001</v>
      </c>
      <c r="C196" s="2">
        <v>0.1694</v>
      </c>
      <c r="D196" s="2">
        <v>0.15240000000000001</v>
      </c>
      <c r="E196" s="2">
        <v>1.9E-2</v>
      </c>
    </row>
    <row r="197" spans="1:9" x14ac:dyDescent="0.25">
      <c r="A197" s="3" t="s">
        <v>161</v>
      </c>
      <c r="B197" s="2">
        <v>0.59419999999999995</v>
      </c>
      <c r="C197" s="2">
        <v>0.17780000000000001</v>
      </c>
      <c r="D197" s="2">
        <v>0.2026</v>
      </c>
      <c r="E197" s="2">
        <v>2.53E-2</v>
      </c>
    </row>
    <row r="198" spans="1:9" x14ac:dyDescent="0.25">
      <c r="A198" s="3" t="s">
        <v>162</v>
      </c>
      <c r="B198" s="2">
        <v>0.39040000000000002</v>
      </c>
      <c r="C198" s="2">
        <v>0.24610000000000001</v>
      </c>
      <c r="D198" s="2">
        <v>0.34350000000000003</v>
      </c>
      <c r="E198" s="2">
        <v>0.02</v>
      </c>
    </row>
    <row r="200" spans="1:9" ht="18.75" x14ac:dyDescent="0.25">
      <c r="A200" s="1" t="s">
        <v>115</v>
      </c>
    </row>
    <row r="202" spans="1:9" x14ac:dyDescent="0.25">
      <c r="A202" s="2"/>
      <c r="B202" s="35" t="s">
        <v>110</v>
      </c>
      <c r="C202" s="36"/>
      <c r="D202" s="36"/>
      <c r="E202" s="36"/>
      <c r="F202" s="36"/>
      <c r="G202" s="36"/>
      <c r="H202" s="36"/>
      <c r="I202" s="37"/>
    </row>
    <row r="203" spans="1:9" x14ac:dyDescent="0.25">
      <c r="A203" s="3" t="s">
        <v>158</v>
      </c>
      <c r="B203" s="3">
        <v>1</v>
      </c>
      <c r="C203" s="3" t="s">
        <v>105</v>
      </c>
      <c r="D203" s="3">
        <v>2</v>
      </c>
      <c r="E203" s="3" t="s">
        <v>105</v>
      </c>
      <c r="F203" s="3">
        <v>3</v>
      </c>
      <c r="G203" s="3" t="s">
        <v>105</v>
      </c>
      <c r="H203" s="3">
        <v>4</v>
      </c>
      <c r="I203" s="3" t="s">
        <v>105</v>
      </c>
    </row>
    <row r="204" spans="1:9" x14ac:dyDescent="0.25">
      <c r="A204" s="3" t="s">
        <v>159</v>
      </c>
      <c r="B204" s="2">
        <v>0.67179999999999995</v>
      </c>
      <c r="C204" s="2">
        <v>2.5600000000000001E-2</v>
      </c>
      <c r="D204" s="2">
        <v>0.1608</v>
      </c>
      <c r="E204" s="2">
        <v>2.1899999999999999E-2</v>
      </c>
      <c r="F204" s="2">
        <v>0.15329999999999999</v>
      </c>
      <c r="G204" s="2">
        <v>1.9099999999999999E-2</v>
      </c>
      <c r="H204" s="2">
        <v>1.41E-2</v>
      </c>
      <c r="I204" s="2">
        <v>5.7999999999999996E-3</v>
      </c>
    </row>
    <row r="205" spans="1:9" x14ac:dyDescent="0.25">
      <c r="A205" s="3" t="s">
        <v>160</v>
      </c>
      <c r="B205" s="2">
        <v>0.65920000000000001</v>
      </c>
      <c r="C205" s="2">
        <v>3.2500000000000001E-2</v>
      </c>
      <c r="D205" s="2">
        <v>0.1694</v>
      </c>
      <c r="E205" s="2">
        <v>2.81E-2</v>
      </c>
      <c r="F205" s="2">
        <v>0.15240000000000001</v>
      </c>
      <c r="G205" s="2">
        <v>2.1600000000000001E-2</v>
      </c>
      <c r="H205" s="2">
        <v>1.9E-2</v>
      </c>
      <c r="I205" s="2">
        <v>7.1999999999999998E-3</v>
      </c>
    </row>
    <row r="206" spans="1:9" x14ac:dyDescent="0.25">
      <c r="A206" s="3" t="s">
        <v>161</v>
      </c>
      <c r="B206" s="2">
        <v>0.59419999999999995</v>
      </c>
      <c r="C206" s="2">
        <v>5.67E-2</v>
      </c>
      <c r="D206" s="2">
        <v>0.17780000000000001</v>
      </c>
      <c r="E206" s="2">
        <v>4.3200000000000002E-2</v>
      </c>
      <c r="F206" s="2">
        <v>0.2026</v>
      </c>
      <c r="G206" s="2">
        <v>4.5100000000000001E-2</v>
      </c>
      <c r="H206" s="2">
        <v>2.53E-2</v>
      </c>
      <c r="I206" s="2">
        <v>2.1700000000000001E-2</v>
      </c>
    </row>
    <row r="207" spans="1:9" x14ac:dyDescent="0.25">
      <c r="A207" s="3" t="s">
        <v>162</v>
      </c>
      <c r="B207" s="2">
        <v>0.39040000000000002</v>
      </c>
      <c r="C207" s="2">
        <v>7.2599999999999998E-2</v>
      </c>
      <c r="D207" s="2">
        <v>0.24610000000000001</v>
      </c>
      <c r="E207" s="2">
        <v>6.5299999999999997E-2</v>
      </c>
      <c r="F207" s="2">
        <v>0.34350000000000003</v>
      </c>
      <c r="G207" s="2">
        <v>9.5899999999999999E-2</v>
      </c>
      <c r="H207" s="2">
        <v>0.02</v>
      </c>
      <c r="I207" s="2">
        <v>1.89E-2</v>
      </c>
    </row>
    <row r="208" spans="1:9" x14ac:dyDescent="0.25">
      <c r="A208" s="38"/>
      <c r="B208" s="39"/>
      <c r="C208" s="39"/>
      <c r="D208" s="39"/>
      <c r="E208" s="39"/>
      <c r="F208" s="39"/>
      <c r="G208" s="39"/>
      <c r="H208" s="39"/>
      <c r="I208" s="40"/>
    </row>
    <row r="209" spans="1:9" x14ac:dyDescent="0.25">
      <c r="A209" s="2"/>
      <c r="B209" s="35" t="s">
        <v>116</v>
      </c>
      <c r="C209" s="36"/>
      <c r="D209" s="36"/>
      <c r="E209" s="36"/>
      <c r="F209" s="36"/>
      <c r="G209" s="36"/>
      <c r="H209" s="36"/>
      <c r="I209" s="37"/>
    </row>
    <row r="210" spans="1:9" x14ac:dyDescent="0.25">
      <c r="A210" s="3" t="s">
        <v>110</v>
      </c>
      <c r="B210" s="3" t="s">
        <v>88</v>
      </c>
      <c r="C210" s="3" t="s">
        <v>105</v>
      </c>
      <c r="D210" s="3" t="s">
        <v>90</v>
      </c>
      <c r="E210" s="3" t="s">
        <v>105</v>
      </c>
      <c r="F210" s="3" t="s">
        <v>91</v>
      </c>
      <c r="G210" s="3" t="s">
        <v>105</v>
      </c>
      <c r="H210" s="3" t="s">
        <v>92</v>
      </c>
      <c r="I210" s="3" t="s">
        <v>105</v>
      </c>
    </row>
    <row r="211" spans="1:9" x14ac:dyDescent="0.25">
      <c r="A211" s="3">
        <v>1</v>
      </c>
      <c r="B211" s="2">
        <v>0.95289999999999997</v>
      </c>
      <c r="C211" s="2" t="s">
        <v>11</v>
      </c>
      <c r="D211" s="2">
        <v>3.7100000000000001E-2</v>
      </c>
      <c r="E211" s="2" t="s">
        <v>11</v>
      </c>
      <c r="F211" s="2">
        <v>9.4999999999999998E-3</v>
      </c>
      <c r="G211" s="2" t="s">
        <v>11</v>
      </c>
      <c r="H211" s="2">
        <v>5.0000000000000001E-4</v>
      </c>
      <c r="I211" s="2" t="s">
        <v>11</v>
      </c>
    </row>
    <row r="212" spans="1:9" x14ac:dyDescent="0.25">
      <c r="A212" s="3">
        <v>2</v>
      </c>
      <c r="B212" s="2">
        <v>0.1469</v>
      </c>
      <c r="C212" s="2" t="s">
        <v>11</v>
      </c>
      <c r="D212" s="2">
        <v>0.80220000000000002</v>
      </c>
      <c r="E212" s="2" t="s">
        <v>11</v>
      </c>
      <c r="F212" s="2">
        <v>5.0700000000000002E-2</v>
      </c>
      <c r="G212" s="2" t="s">
        <v>11</v>
      </c>
      <c r="H212" s="2">
        <v>2.0000000000000001E-4</v>
      </c>
      <c r="I212" s="2" t="s">
        <v>11</v>
      </c>
    </row>
    <row r="213" spans="1:9" x14ac:dyDescent="0.25">
      <c r="A213" s="3">
        <v>3</v>
      </c>
      <c r="B213" s="2">
        <v>3.8800000000000001E-2</v>
      </c>
      <c r="C213" s="2" t="s">
        <v>11</v>
      </c>
      <c r="D213" s="2">
        <v>5.2499999999999998E-2</v>
      </c>
      <c r="E213" s="2" t="s">
        <v>11</v>
      </c>
      <c r="F213" s="2">
        <v>0.90569999999999995</v>
      </c>
      <c r="G213" s="2" t="s">
        <v>11</v>
      </c>
      <c r="H213" s="2">
        <v>3.0000000000000001E-3</v>
      </c>
      <c r="I213" s="2" t="s">
        <v>11</v>
      </c>
    </row>
    <row r="214" spans="1:9" x14ac:dyDescent="0.25">
      <c r="A214" s="3">
        <v>4</v>
      </c>
      <c r="B214" s="2">
        <v>1.9400000000000001E-2</v>
      </c>
      <c r="C214" s="2" t="s">
        <v>11</v>
      </c>
      <c r="D214" s="2">
        <v>2E-3</v>
      </c>
      <c r="E214" s="2" t="s">
        <v>11</v>
      </c>
      <c r="F214" s="2">
        <v>2.9399999999999999E-2</v>
      </c>
      <c r="G214" s="2" t="s">
        <v>11</v>
      </c>
      <c r="H214" s="2">
        <v>0.94920000000000004</v>
      </c>
      <c r="I214" s="2" t="s">
        <v>11</v>
      </c>
    </row>
  </sheetData>
  <mergeCells count="5">
    <mergeCell ref="A3:F3"/>
    <mergeCell ref="B69:F69"/>
    <mergeCell ref="B202:I202"/>
    <mergeCell ref="A208:I208"/>
    <mergeCell ref="B209:I209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347"/>
  <sheetViews>
    <sheetView workbookViewId="0">
      <selection activeCell="O170" sqref="O170"/>
    </sheetView>
  </sheetViews>
  <sheetFormatPr defaultRowHeight="15" x14ac:dyDescent="0.25"/>
  <cols>
    <col min="1" max="1" width="48.28515625" bestFit="1" customWidth="1"/>
    <col min="2" max="2" width="12.140625" bestFit="1" customWidth="1"/>
    <col min="3" max="4" width="9.5703125" bestFit="1" customWidth="1"/>
  </cols>
  <sheetData>
    <row r="1" spans="1:6" ht="37.5" x14ac:dyDescent="0.25">
      <c r="A1" s="1" t="s">
        <v>133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13316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13.454700000000001</v>
      </c>
      <c r="C7" s="2"/>
      <c r="D7" s="2"/>
      <c r="E7" s="2"/>
      <c r="F7" s="2"/>
    </row>
    <row r="8" spans="1:6" x14ac:dyDescent="0.25">
      <c r="A8" s="3" t="s">
        <v>4</v>
      </c>
      <c r="B8" s="2">
        <v>13.454700000000001</v>
      </c>
      <c r="C8" s="2"/>
      <c r="D8" s="2"/>
      <c r="E8" s="2"/>
      <c r="F8" s="2"/>
    </row>
    <row r="9" spans="1:6" x14ac:dyDescent="0.25">
      <c r="A9" s="3" t="s">
        <v>5</v>
      </c>
      <c r="B9" s="2">
        <v>74639</v>
      </c>
      <c r="C9" s="2"/>
      <c r="D9" s="2"/>
      <c r="E9" s="2"/>
      <c r="F9" s="2"/>
    </row>
    <row r="10" spans="1:6" x14ac:dyDescent="0.25">
      <c r="A10" s="3" t="s">
        <v>6</v>
      </c>
      <c r="B10" s="2">
        <v>74639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357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2363.7134999999998</v>
      </c>
      <c r="C14" s="4">
        <v>3.2000000000000002E-292</v>
      </c>
      <c r="D14" s="2"/>
      <c r="E14" s="2"/>
      <c r="F14" s="2"/>
    </row>
    <row r="15" spans="1:6" x14ac:dyDescent="0.25">
      <c r="A15" s="3" t="s">
        <v>12</v>
      </c>
      <c r="B15" s="2">
        <v>2630.2991999999999</v>
      </c>
      <c r="C15" s="4" t="s">
        <v>134</v>
      </c>
      <c r="D15" s="2"/>
      <c r="E15" s="2"/>
      <c r="F15" s="2"/>
    </row>
    <row r="16" spans="1:6" x14ac:dyDescent="0.25">
      <c r="A16" s="3" t="s">
        <v>13</v>
      </c>
      <c r="B16" s="2">
        <v>2442.6084999999998</v>
      </c>
      <c r="C16" s="4">
        <v>7.9999999999999993E-307</v>
      </c>
      <c r="D16" s="2"/>
      <c r="E16" s="2"/>
      <c r="F16" s="2"/>
    </row>
    <row r="17" spans="1:6" x14ac:dyDescent="0.25">
      <c r="A17" s="3" t="s">
        <v>14</v>
      </c>
      <c r="B17" s="2">
        <v>-1026.6161</v>
      </c>
      <c r="C17" s="2"/>
      <c r="D17" s="2"/>
      <c r="E17" s="2"/>
      <c r="F17" s="2"/>
    </row>
    <row r="18" spans="1:6" x14ac:dyDescent="0.25">
      <c r="A18" s="3" t="s">
        <v>15</v>
      </c>
      <c r="B18" s="2">
        <v>1649.7135000000001</v>
      </c>
      <c r="C18" s="2"/>
      <c r="D18" s="2"/>
      <c r="E18" s="2"/>
      <c r="F18" s="2"/>
    </row>
    <row r="19" spans="1:6" x14ac:dyDescent="0.25">
      <c r="A19" s="3" t="s">
        <v>16</v>
      </c>
      <c r="B19" s="2">
        <v>1292.7135000000001</v>
      </c>
      <c r="C19" s="2"/>
      <c r="D19" s="2"/>
      <c r="E19" s="2"/>
      <c r="F19" s="2"/>
    </row>
    <row r="20" spans="1:6" x14ac:dyDescent="0.25">
      <c r="A20" s="3" t="s">
        <v>17</v>
      </c>
      <c r="B20" s="2">
        <v>-1383.6161</v>
      </c>
      <c r="C20" s="2"/>
      <c r="D20" s="2"/>
      <c r="E20" s="2"/>
      <c r="F20" s="2"/>
    </row>
    <row r="21" spans="1:6" x14ac:dyDescent="0.25">
      <c r="A21" s="3" t="s">
        <v>18</v>
      </c>
      <c r="B21" s="2">
        <v>107.8955</v>
      </c>
      <c r="C21" s="2"/>
      <c r="D21" s="2"/>
      <c r="E21" s="2"/>
      <c r="F21" s="2"/>
    </row>
    <row r="22" spans="1:6" x14ac:dyDescent="0.25">
      <c r="A22" s="3" t="s">
        <v>19</v>
      </c>
      <c r="B22" s="2">
        <v>0.13389999999999999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-12428.394899999999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-12428.394899999999</v>
      </c>
      <c r="C27" s="2"/>
      <c r="D27" s="2"/>
      <c r="E27" s="2"/>
      <c r="F27" s="2"/>
    </row>
    <row r="28" spans="1:6" x14ac:dyDescent="0.25">
      <c r="A28" s="3" t="s">
        <v>24</v>
      </c>
      <c r="B28" s="2">
        <v>24913.770100000002</v>
      </c>
      <c r="C28" s="2"/>
      <c r="D28" s="2"/>
      <c r="E28" s="2"/>
      <c r="F28" s="2"/>
    </row>
    <row r="29" spans="1:6" x14ac:dyDescent="0.25">
      <c r="A29" s="3" t="s">
        <v>25</v>
      </c>
      <c r="B29" s="2">
        <v>24868.789700000001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24874.789700000001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24919.770100000002</v>
      </c>
      <c r="C31" s="2"/>
      <c r="D31" s="2"/>
      <c r="E31" s="2"/>
      <c r="F31" s="2"/>
    </row>
    <row r="32" spans="1:6" x14ac:dyDescent="0.25">
      <c r="A32" s="3" t="s">
        <v>28</v>
      </c>
      <c r="B32" s="2">
        <v>24894.702700000002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0.34160000000000001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4.0000000000000002E-4</v>
      </c>
      <c r="C38" s="2"/>
      <c r="D38" s="2"/>
      <c r="E38" s="2"/>
      <c r="F38" s="2"/>
    </row>
    <row r="39" spans="1:6" x14ac:dyDescent="0.25">
      <c r="A39" s="3" t="s">
        <v>33</v>
      </c>
      <c r="B39" s="2">
        <v>1E-4</v>
      </c>
      <c r="C39" s="2"/>
      <c r="D39" s="2"/>
      <c r="E39" s="2"/>
      <c r="F39" s="2"/>
    </row>
    <row r="40" spans="1:6" x14ac:dyDescent="0.25">
      <c r="A40" s="3" t="s">
        <v>34</v>
      </c>
      <c r="B40" s="2">
        <v>-24856.5684</v>
      </c>
      <c r="C40" s="2"/>
      <c r="D40" s="2"/>
      <c r="E40" s="2"/>
      <c r="F40" s="2"/>
    </row>
    <row r="41" spans="1:6" x14ac:dyDescent="0.25">
      <c r="A41" s="3" t="s">
        <v>35</v>
      </c>
      <c r="B41" s="2">
        <v>12428.1736</v>
      </c>
      <c r="C41" s="2"/>
      <c r="D41" s="2"/>
      <c r="E41" s="2"/>
      <c r="F41" s="2"/>
    </row>
    <row r="42" spans="1:6" x14ac:dyDescent="0.25">
      <c r="A42" s="3" t="s">
        <v>36</v>
      </c>
      <c r="B42" s="2">
        <v>49713.136899999998</v>
      </c>
      <c r="C42" s="2"/>
      <c r="D42" s="2"/>
      <c r="E42" s="2"/>
      <c r="F42" s="2"/>
    </row>
    <row r="43" spans="1:6" x14ac:dyDescent="0.25">
      <c r="A43" s="3" t="s">
        <v>37</v>
      </c>
      <c r="B43" s="2">
        <v>49845.097500000003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49770.117200000001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8766.8790000000008</v>
      </c>
      <c r="C48" s="2">
        <v>0</v>
      </c>
      <c r="D48" s="2">
        <v>0</v>
      </c>
      <c r="E48" s="2">
        <v>0</v>
      </c>
      <c r="F48" s="2">
        <v>8766.8790000000008</v>
      </c>
    </row>
    <row r="49" spans="1:6" x14ac:dyDescent="0.25">
      <c r="A49" s="3" t="s">
        <v>43</v>
      </c>
      <c r="B49" s="2">
        <v>2187.5183000000002</v>
      </c>
      <c r="C49" s="2">
        <v>0</v>
      </c>
      <c r="D49" s="2">
        <v>0</v>
      </c>
      <c r="E49" s="2">
        <v>0</v>
      </c>
      <c r="F49" s="2">
        <v>2187.5183000000002</v>
      </c>
    </row>
    <row r="50" spans="1:6" x14ac:dyDescent="0.25">
      <c r="A50" s="3" t="s">
        <v>44</v>
      </c>
      <c r="B50" s="2">
        <v>2141.0513000000001</v>
      </c>
      <c r="C50" s="2">
        <v>0</v>
      </c>
      <c r="D50" s="2">
        <v>0</v>
      </c>
      <c r="E50" s="2">
        <v>0</v>
      </c>
      <c r="F50" s="2">
        <v>2141.0513000000001</v>
      </c>
    </row>
    <row r="51" spans="1:6" x14ac:dyDescent="0.25">
      <c r="A51" s="3" t="s">
        <v>45</v>
      </c>
      <c r="B51" s="2">
        <v>220.5513</v>
      </c>
      <c r="C51" s="2">
        <v>0</v>
      </c>
      <c r="D51" s="2">
        <v>0</v>
      </c>
      <c r="E51" s="2">
        <v>0</v>
      </c>
      <c r="F51" s="2">
        <v>220.5513</v>
      </c>
    </row>
    <row r="52" spans="1:6" x14ac:dyDescent="0.25">
      <c r="A52" s="3" t="s">
        <v>46</v>
      </c>
      <c r="B52" s="2">
        <v>13316</v>
      </c>
      <c r="C52" s="2">
        <v>0</v>
      </c>
      <c r="D52" s="2">
        <v>0</v>
      </c>
      <c r="E52" s="2">
        <v>0</v>
      </c>
      <c r="F52" s="2">
        <v>13316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5771.9237000000003</v>
      </c>
      <c r="C56" s="2">
        <v>1440.2702999999999</v>
      </c>
      <c r="D56" s="2">
        <v>1409.5817</v>
      </c>
      <c r="E56" s="2">
        <v>145.10319999999999</v>
      </c>
      <c r="F56" s="2">
        <v>8766.8790000000008</v>
      </c>
    </row>
    <row r="57" spans="1:6" x14ac:dyDescent="0.25">
      <c r="A57" s="3" t="s">
        <v>43</v>
      </c>
      <c r="B57" s="2">
        <v>1440.2702999999999</v>
      </c>
      <c r="C57" s="2">
        <v>359.45150000000001</v>
      </c>
      <c r="D57" s="2">
        <v>351.6902</v>
      </c>
      <c r="E57" s="2">
        <v>36.106400000000001</v>
      </c>
      <c r="F57" s="2">
        <v>2187.5183000000002</v>
      </c>
    </row>
    <row r="58" spans="1:6" x14ac:dyDescent="0.25">
      <c r="A58" s="3" t="s">
        <v>44</v>
      </c>
      <c r="B58" s="2">
        <v>1409.5817</v>
      </c>
      <c r="C58" s="2">
        <v>351.6902</v>
      </c>
      <c r="D58" s="2">
        <v>344.27</v>
      </c>
      <c r="E58" s="2">
        <v>35.509399999999999</v>
      </c>
      <c r="F58" s="2">
        <v>2141.0513000000001</v>
      </c>
    </row>
    <row r="59" spans="1:6" x14ac:dyDescent="0.25">
      <c r="A59" s="3" t="s">
        <v>45</v>
      </c>
      <c r="B59" s="2">
        <v>145.10319999999999</v>
      </c>
      <c r="C59" s="2">
        <v>36.106400000000001</v>
      </c>
      <c r="D59" s="2">
        <v>35.509399999999999</v>
      </c>
      <c r="E59" s="2">
        <v>3.8323</v>
      </c>
      <c r="F59" s="2">
        <v>220.5513</v>
      </c>
    </row>
    <row r="60" spans="1:6" x14ac:dyDescent="0.25">
      <c r="A60" s="3" t="s">
        <v>46</v>
      </c>
      <c r="B60" s="2">
        <v>8766.8790000000008</v>
      </c>
      <c r="C60" s="2">
        <v>2187.5183000000002</v>
      </c>
      <c r="D60" s="2">
        <v>2141.0513000000001</v>
      </c>
      <c r="E60" s="2">
        <v>220.5513</v>
      </c>
      <c r="F60" s="2">
        <v>13316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0.34160000000000001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4.0000000000000002E-4</v>
      </c>
      <c r="C65" s="2"/>
      <c r="D65" s="2"/>
      <c r="E65" s="2"/>
      <c r="F65" s="2"/>
    </row>
    <row r="66" spans="1:6" x14ac:dyDescent="0.25">
      <c r="A66" s="3" t="s">
        <v>33</v>
      </c>
      <c r="B66" s="2">
        <v>1E-4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ht="45" customHeight="1" x14ac:dyDescent="0.25">
      <c r="A69" s="3" t="s">
        <v>50</v>
      </c>
      <c r="B69" s="38" t="s">
        <v>51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13316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707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707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707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707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135</v>
      </c>
      <c r="B140" s="2" t="s">
        <v>127</v>
      </c>
      <c r="C140" s="2">
        <v>121</v>
      </c>
      <c r="D140" s="2"/>
      <c r="E140" s="2"/>
      <c r="F140" s="2"/>
    </row>
    <row r="141" spans="1:6" x14ac:dyDescent="0.25">
      <c r="A141" s="3">
        <v>1</v>
      </c>
      <c r="B141" s="2">
        <v>1</v>
      </c>
      <c r="C141" s="2">
        <v>1</v>
      </c>
      <c r="D141" s="2"/>
      <c r="E141" s="2"/>
      <c r="F141" s="2"/>
    </row>
    <row r="142" spans="1:6" x14ac:dyDescent="0.25">
      <c r="A142" s="3">
        <v>2</v>
      </c>
      <c r="B142" s="2">
        <v>2</v>
      </c>
      <c r="C142" s="2">
        <v>2</v>
      </c>
      <c r="D142" s="2"/>
      <c r="E142" s="2"/>
      <c r="F142" s="2"/>
    </row>
    <row r="143" spans="1:6" x14ac:dyDescent="0.25">
      <c r="A143" s="3">
        <v>3</v>
      </c>
      <c r="B143" s="2">
        <v>3</v>
      </c>
      <c r="C143" s="2">
        <v>3</v>
      </c>
      <c r="D143" s="2"/>
      <c r="E143" s="2"/>
      <c r="F143" s="2"/>
    </row>
    <row r="144" spans="1:6" x14ac:dyDescent="0.25">
      <c r="A144" s="3">
        <v>4</v>
      </c>
      <c r="B144" s="2">
        <v>4</v>
      </c>
      <c r="C144" s="2">
        <v>4</v>
      </c>
      <c r="D144" s="2"/>
      <c r="E144" s="2"/>
      <c r="F144" s="2"/>
    </row>
    <row r="145" spans="1:6" x14ac:dyDescent="0.25">
      <c r="A145" s="3">
        <v>5</v>
      </c>
      <c r="B145" s="2">
        <v>5</v>
      </c>
      <c r="C145" s="2">
        <v>5</v>
      </c>
      <c r="D145" s="2"/>
      <c r="E145" s="2"/>
      <c r="F145" s="2"/>
    </row>
    <row r="146" spans="1:6" x14ac:dyDescent="0.25">
      <c r="A146" s="3">
        <v>6</v>
      </c>
      <c r="B146" s="2">
        <v>6</v>
      </c>
      <c r="C146" s="2">
        <v>6</v>
      </c>
      <c r="D146" s="2"/>
      <c r="E146" s="2"/>
      <c r="F146" s="2"/>
    </row>
    <row r="147" spans="1:6" x14ac:dyDescent="0.25">
      <c r="A147" s="3">
        <v>7</v>
      </c>
      <c r="B147" s="2">
        <v>7</v>
      </c>
      <c r="C147" s="2">
        <v>7</v>
      </c>
      <c r="D147" s="2"/>
      <c r="E147" s="2"/>
      <c r="F147" s="2"/>
    </row>
    <row r="148" spans="1:6" x14ac:dyDescent="0.25">
      <c r="A148" s="3">
        <v>8</v>
      </c>
      <c r="B148" s="2">
        <v>8</v>
      </c>
      <c r="C148" s="2">
        <v>8</v>
      </c>
      <c r="D148" s="2"/>
      <c r="E148" s="2"/>
      <c r="F148" s="2"/>
    </row>
    <row r="149" spans="1:6" x14ac:dyDescent="0.25">
      <c r="A149" s="3">
        <v>9</v>
      </c>
      <c r="B149" s="2">
        <v>9</v>
      </c>
      <c r="C149" s="2">
        <v>9</v>
      </c>
      <c r="D149" s="2"/>
      <c r="E149" s="2"/>
      <c r="F149" s="2"/>
    </row>
    <row r="150" spans="1:6" x14ac:dyDescent="0.25">
      <c r="A150" s="3">
        <v>10</v>
      </c>
      <c r="B150" s="2">
        <v>10</v>
      </c>
      <c r="C150" s="2">
        <v>10</v>
      </c>
      <c r="D150" s="2"/>
      <c r="E150" s="2"/>
      <c r="F150" s="2"/>
    </row>
    <row r="151" spans="1:6" x14ac:dyDescent="0.25">
      <c r="A151" s="3" t="s">
        <v>89</v>
      </c>
      <c r="B151" s="2"/>
      <c r="C151" s="2"/>
      <c r="D151" s="2"/>
      <c r="E151" s="2"/>
      <c r="F151" s="2"/>
    </row>
    <row r="152" spans="1:6" x14ac:dyDescent="0.25">
      <c r="A152" s="3">
        <v>131</v>
      </c>
      <c r="B152" s="2">
        <v>131</v>
      </c>
      <c r="C152" s="2">
        <v>131</v>
      </c>
      <c r="D152" s="2"/>
      <c r="E152" s="2"/>
      <c r="F152" s="2"/>
    </row>
    <row r="153" spans="1:6" x14ac:dyDescent="0.25">
      <c r="A153" s="3">
        <v>133</v>
      </c>
      <c r="B153" s="2">
        <v>133</v>
      </c>
      <c r="C153" s="2">
        <v>133</v>
      </c>
      <c r="D153" s="2"/>
      <c r="E153" s="2"/>
      <c r="F153" s="2"/>
    </row>
    <row r="154" spans="1:6" x14ac:dyDescent="0.25">
      <c r="A154" s="3">
        <v>135</v>
      </c>
      <c r="B154" s="2">
        <v>135</v>
      </c>
      <c r="C154" s="2">
        <v>135</v>
      </c>
      <c r="D154" s="2"/>
      <c r="E154" s="2"/>
      <c r="F154" s="2"/>
    </row>
    <row r="155" spans="1:6" x14ac:dyDescent="0.25">
      <c r="A155" s="3">
        <v>150</v>
      </c>
      <c r="B155" s="2">
        <v>150</v>
      </c>
      <c r="C155" s="2">
        <v>150</v>
      </c>
      <c r="D155" s="2"/>
      <c r="E155" s="2"/>
      <c r="F155" s="2"/>
    </row>
    <row r="156" spans="1:6" x14ac:dyDescent="0.25">
      <c r="A156" s="3">
        <v>152</v>
      </c>
      <c r="B156" s="2">
        <v>152</v>
      </c>
      <c r="C156" s="2">
        <v>152</v>
      </c>
      <c r="D156" s="2"/>
      <c r="E156" s="2"/>
      <c r="F156" s="2"/>
    </row>
    <row r="157" spans="1:6" x14ac:dyDescent="0.25">
      <c r="A157" s="3">
        <v>174</v>
      </c>
      <c r="B157" s="2">
        <v>174</v>
      </c>
      <c r="C157" s="2">
        <v>174</v>
      </c>
      <c r="D157" s="2"/>
      <c r="E157" s="2"/>
      <c r="F157" s="2"/>
    </row>
    <row r="158" spans="1:6" x14ac:dyDescent="0.25">
      <c r="A158" s="3">
        <v>180</v>
      </c>
      <c r="B158" s="2">
        <v>180</v>
      </c>
      <c r="C158" s="2">
        <v>180</v>
      </c>
      <c r="D158" s="2"/>
      <c r="E158" s="2"/>
      <c r="F158" s="2"/>
    </row>
    <row r="159" spans="1:6" x14ac:dyDescent="0.25">
      <c r="A159" s="3">
        <v>181</v>
      </c>
      <c r="B159" s="2">
        <v>181</v>
      </c>
      <c r="C159" s="2">
        <v>181</v>
      </c>
      <c r="D159" s="2"/>
      <c r="E159" s="2"/>
      <c r="F159" s="2"/>
    </row>
    <row r="160" spans="1:6" x14ac:dyDescent="0.25">
      <c r="A160" s="3">
        <v>187</v>
      </c>
      <c r="B160" s="2">
        <v>187</v>
      </c>
      <c r="C160" s="2">
        <v>187</v>
      </c>
      <c r="D160" s="2"/>
      <c r="E160" s="2"/>
      <c r="F160" s="2"/>
    </row>
    <row r="162" spans="1:16" ht="18.75" x14ac:dyDescent="0.25">
      <c r="A162" s="1" t="s">
        <v>102</v>
      </c>
    </row>
    <row r="164" spans="1:16" x14ac:dyDescent="0.25">
      <c r="A164" s="3" t="s">
        <v>103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3" t="s">
        <v>104</v>
      </c>
      <c r="B165" s="3" t="s">
        <v>42</v>
      </c>
      <c r="C165" s="3" t="s">
        <v>105</v>
      </c>
      <c r="D165" s="3" t="s">
        <v>123</v>
      </c>
      <c r="E165" s="3" t="s">
        <v>43</v>
      </c>
      <c r="F165" s="3" t="s">
        <v>105</v>
      </c>
      <c r="G165" s="3" t="s">
        <v>123</v>
      </c>
      <c r="H165" s="3" t="s">
        <v>44</v>
      </c>
      <c r="I165" s="3" t="s">
        <v>105</v>
      </c>
      <c r="J165" s="3" t="s">
        <v>123</v>
      </c>
      <c r="K165" s="3" t="s">
        <v>45</v>
      </c>
      <c r="L165" s="3" t="s">
        <v>105</v>
      </c>
      <c r="M165" s="3" t="s">
        <v>123</v>
      </c>
      <c r="N165" s="3" t="s">
        <v>106</v>
      </c>
      <c r="O165" s="3" t="s">
        <v>9</v>
      </c>
      <c r="P165" s="2"/>
    </row>
    <row r="166" spans="1:16" x14ac:dyDescent="0.25">
      <c r="A166" s="3"/>
      <c r="B166" s="2">
        <v>1.6854</v>
      </c>
      <c r="C166" s="2">
        <v>0.1229</v>
      </c>
      <c r="D166" s="2">
        <v>13.715400000000001</v>
      </c>
      <c r="E166" s="2">
        <v>0.315</v>
      </c>
      <c r="F166" s="2">
        <v>0.16120000000000001</v>
      </c>
      <c r="G166" s="2">
        <v>1.954</v>
      </c>
      <c r="H166" s="2">
        <v>0.26279999999999998</v>
      </c>
      <c r="I166" s="2">
        <v>0.16639999999999999</v>
      </c>
      <c r="J166" s="2">
        <v>1.5790999999999999</v>
      </c>
      <c r="K166" s="2">
        <v>-2.2631999999999999</v>
      </c>
      <c r="L166" s="2">
        <v>0.28410000000000002</v>
      </c>
      <c r="M166" s="2">
        <v>-7.9648000000000003</v>
      </c>
      <c r="N166" s="2">
        <v>191.4487</v>
      </c>
      <c r="O166" s="4">
        <v>2.9999999999999999E-41</v>
      </c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3" t="s">
        <v>107</v>
      </c>
      <c r="B168" s="3" t="s">
        <v>42</v>
      </c>
      <c r="C168" s="3" t="s">
        <v>105</v>
      </c>
      <c r="D168" s="3" t="s">
        <v>123</v>
      </c>
      <c r="E168" s="3" t="s">
        <v>43</v>
      </c>
      <c r="F168" s="3" t="s">
        <v>105</v>
      </c>
      <c r="G168" s="3" t="s">
        <v>123</v>
      </c>
      <c r="H168" s="3" t="s">
        <v>44</v>
      </c>
      <c r="I168" s="3" t="s">
        <v>105</v>
      </c>
      <c r="J168" s="3" t="s">
        <v>123</v>
      </c>
      <c r="K168" s="3" t="s">
        <v>45</v>
      </c>
      <c r="L168" s="3" t="s">
        <v>105</v>
      </c>
      <c r="M168" s="3" t="s">
        <v>123</v>
      </c>
      <c r="N168" s="3" t="s">
        <v>106</v>
      </c>
      <c r="O168" s="3" t="s">
        <v>9</v>
      </c>
      <c r="P168" s="2"/>
    </row>
    <row r="169" spans="1:16" x14ac:dyDescent="0.25">
      <c r="A169" s="3" t="s">
        <v>135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>
        <v>-2.5000000000000001E-3</v>
      </c>
      <c r="C170" s="2">
        <v>3.5999999999999999E-3</v>
      </c>
      <c r="D170" s="2">
        <v>-0.71230000000000004</v>
      </c>
      <c r="E170" s="2">
        <v>-3.3E-3</v>
      </c>
      <c r="F170" s="2">
        <v>4.5999999999999999E-3</v>
      </c>
      <c r="G170" s="2">
        <v>-0.7167</v>
      </c>
      <c r="H170" s="2">
        <v>-2E-3</v>
      </c>
      <c r="I170" s="2">
        <v>5.4000000000000003E-3</v>
      </c>
      <c r="J170" s="2">
        <v>-0.37119999999999997</v>
      </c>
      <c r="K170" s="2">
        <v>7.9000000000000008E-3</v>
      </c>
      <c r="L170" s="2">
        <v>7.6E-3</v>
      </c>
      <c r="M170" s="2">
        <v>1.0337000000000001</v>
      </c>
      <c r="N170" s="2">
        <v>1.1271</v>
      </c>
      <c r="O170" s="2">
        <v>0.77</v>
      </c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8.75" x14ac:dyDescent="0.25">
      <c r="A173" s="1" t="s">
        <v>108</v>
      </c>
    </row>
    <row r="175" spans="1:16" x14ac:dyDescent="0.25">
      <c r="A175" s="3" t="s">
        <v>103</v>
      </c>
      <c r="B175" s="3"/>
      <c r="C175" s="3"/>
      <c r="D175" s="3" t="s">
        <v>106</v>
      </c>
      <c r="E175" s="3" t="s">
        <v>109</v>
      </c>
      <c r="F175" s="3" t="s">
        <v>9</v>
      </c>
    </row>
    <row r="176" spans="1:16" x14ac:dyDescent="0.25">
      <c r="A176" s="3" t="s">
        <v>104</v>
      </c>
      <c r="B176" s="2"/>
      <c r="C176" s="2"/>
      <c r="D176" s="2"/>
      <c r="E176" s="2"/>
      <c r="F176" s="2"/>
    </row>
    <row r="177" spans="1:6" x14ac:dyDescent="0.25">
      <c r="A177" s="3" t="s">
        <v>110</v>
      </c>
      <c r="B177" s="3">
        <v>1</v>
      </c>
      <c r="C177" s="3">
        <v>2</v>
      </c>
      <c r="D177" s="2">
        <v>60.895699999999998</v>
      </c>
      <c r="E177" s="2">
        <v>1</v>
      </c>
      <c r="F177" s="4">
        <v>5.9999999999999997E-15</v>
      </c>
    </row>
    <row r="178" spans="1:6" x14ac:dyDescent="0.25">
      <c r="A178" s="3" t="s">
        <v>110</v>
      </c>
      <c r="B178" s="3">
        <v>1</v>
      </c>
      <c r="C178" s="3">
        <v>3</v>
      </c>
      <c r="D178" s="2">
        <v>55.549799999999998</v>
      </c>
      <c r="E178" s="2">
        <v>1</v>
      </c>
      <c r="F178" s="4">
        <v>9.1000000000000004E-14</v>
      </c>
    </row>
    <row r="179" spans="1:6" x14ac:dyDescent="0.25">
      <c r="A179" s="3" t="s">
        <v>110</v>
      </c>
      <c r="B179" s="3">
        <v>1</v>
      </c>
      <c r="C179" s="3">
        <v>4</v>
      </c>
      <c r="D179" s="2">
        <v>109.29859999999999</v>
      </c>
      <c r="E179" s="2">
        <v>1</v>
      </c>
      <c r="F179" s="4">
        <v>1.3999999999999999E-25</v>
      </c>
    </row>
    <row r="180" spans="1:6" x14ac:dyDescent="0.25">
      <c r="A180" s="3" t="s">
        <v>110</v>
      </c>
      <c r="B180" s="3">
        <v>2</v>
      </c>
      <c r="C180" s="3">
        <v>3</v>
      </c>
      <c r="D180" s="2">
        <v>4.6600000000000003E-2</v>
      </c>
      <c r="E180" s="2">
        <v>1</v>
      </c>
      <c r="F180" s="2">
        <v>0.83</v>
      </c>
    </row>
    <row r="181" spans="1:6" x14ac:dyDescent="0.25">
      <c r="A181" s="3" t="s">
        <v>110</v>
      </c>
      <c r="B181" s="3">
        <v>2</v>
      </c>
      <c r="C181" s="3">
        <v>4</v>
      </c>
      <c r="D181" s="2">
        <v>40.462800000000001</v>
      </c>
      <c r="E181" s="2">
        <v>1</v>
      </c>
      <c r="F181" s="4">
        <v>2.0000000000000001E-10</v>
      </c>
    </row>
    <row r="182" spans="1:6" x14ac:dyDescent="0.25">
      <c r="A182" s="3" t="s">
        <v>110</v>
      </c>
      <c r="B182" s="3">
        <v>3</v>
      </c>
      <c r="C182" s="3">
        <v>4</v>
      </c>
      <c r="D182" s="2">
        <v>38.5398</v>
      </c>
      <c r="E182" s="2">
        <v>1</v>
      </c>
      <c r="F182" s="4">
        <v>5.4E-10</v>
      </c>
    </row>
    <row r="183" spans="1:6" x14ac:dyDescent="0.25">
      <c r="A183" s="3" t="s">
        <v>135</v>
      </c>
      <c r="B183" s="2"/>
      <c r="C183" s="2"/>
      <c r="D183" s="2"/>
      <c r="E183" s="2"/>
      <c r="F183" s="2"/>
    </row>
    <row r="184" spans="1:6" x14ac:dyDescent="0.25">
      <c r="A184" s="3" t="s">
        <v>110</v>
      </c>
      <c r="B184" s="3">
        <v>1</v>
      </c>
      <c r="C184" s="3">
        <v>2</v>
      </c>
      <c r="D184" s="2">
        <v>2.1299999999999999E-2</v>
      </c>
      <c r="E184" s="2">
        <v>1</v>
      </c>
      <c r="F184" s="2">
        <v>0.88</v>
      </c>
    </row>
    <row r="185" spans="1:6" x14ac:dyDescent="0.25">
      <c r="A185" s="3" t="s">
        <v>110</v>
      </c>
      <c r="B185" s="3">
        <v>1</v>
      </c>
      <c r="C185" s="3">
        <v>3</v>
      </c>
      <c r="D185" s="2">
        <v>6.7000000000000002E-3</v>
      </c>
      <c r="E185" s="2">
        <v>1</v>
      </c>
      <c r="F185" s="2">
        <v>0.93</v>
      </c>
    </row>
    <row r="186" spans="1:6" x14ac:dyDescent="0.25">
      <c r="A186" s="3" t="s">
        <v>110</v>
      </c>
      <c r="B186" s="3">
        <v>1</v>
      </c>
      <c r="C186" s="3">
        <v>4</v>
      </c>
      <c r="D186" s="2">
        <v>1.0602</v>
      </c>
      <c r="E186" s="2">
        <v>1</v>
      </c>
      <c r="F186" s="2">
        <v>0.3</v>
      </c>
    </row>
    <row r="187" spans="1:6" x14ac:dyDescent="0.25">
      <c r="A187" s="3" t="s">
        <v>110</v>
      </c>
      <c r="B187" s="3">
        <v>2</v>
      </c>
      <c r="C187" s="3">
        <v>3</v>
      </c>
      <c r="D187" s="2">
        <v>2.69E-2</v>
      </c>
      <c r="E187" s="2">
        <v>1</v>
      </c>
      <c r="F187" s="2">
        <v>0.87</v>
      </c>
    </row>
    <row r="188" spans="1:6" x14ac:dyDescent="0.25">
      <c r="A188" s="3" t="s">
        <v>110</v>
      </c>
      <c r="B188" s="3">
        <v>2</v>
      </c>
      <c r="C188" s="3">
        <v>4</v>
      </c>
      <c r="D188" s="2">
        <v>1.0603</v>
      </c>
      <c r="E188" s="2">
        <v>1</v>
      </c>
      <c r="F188" s="2">
        <v>0.3</v>
      </c>
    </row>
    <row r="189" spans="1:6" x14ac:dyDescent="0.25">
      <c r="A189" s="3" t="s">
        <v>110</v>
      </c>
      <c r="B189" s="3">
        <v>3</v>
      </c>
      <c r="C189" s="3">
        <v>4</v>
      </c>
      <c r="D189" s="2">
        <v>0.73409999999999997</v>
      </c>
      <c r="E189" s="2">
        <v>1</v>
      </c>
      <c r="F189" s="2">
        <v>0.39</v>
      </c>
    </row>
    <row r="191" spans="1:6" ht="18.75" x14ac:dyDescent="0.25">
      <c r="A191" s="1" t="s">
        <v>111</v>
      </c>
    </row>
    <row r="193" spans="1:9" x14ac:dyDescent="0.25">
      <c r="A193" s="2"/>
      <c r="B193" s="3" t="s">
        <v>42</v>
      </c>
      <c r="C193" s="3" t="s">
        <v>105</v>
      </c>
      <c r="D193" s="3" t="s">
        <v>43</v>
      </c>
      <c r="E193" s="3" t="s">
        <v>105</v>
      </c>
      <c r="F193" s="3" t="s">
        <v>44</v>
      </c>
      <c r="G193" s="3" t="s">
        <v>105</v>
      </c>
      <c r="H193" s="3" t="s">
        <v>45</v>
      </c>
      <c r="I193" s="3" t="s">
        <v>105</v>
      </c>
    </row>
    <row r="194" spans="1:9" x14ac:dyDescent="0.25">
      <c r="A194" s="3" t="s">
        <v>112</v>
      </c>
      <c r="B194" s="2">
        <v>0.65839999999999999</v>
      </c>
      <c r="C194" s="2">
        <v>1.9E-2</v>
      </c>
      <c r="D194" s="2">
        <v>0.1643</v>
      </c>
      <c r="E194" s="2">
        <v>1.6199999999999999E-2</v>
      </c>
      <c r="F194" s="2">
        <v>0.1608</v>
      </c>
      <c r="G194" s="2">
        <v>1.4E-2</v>
      </c>
      <c r="H194" s="2">
        <v>1.66E-2</v>
      </c>
      <c r="I194" s="2">
        <v>4.4999999999999997E-3</v>
      </c>
    </row>
    <row r="195" spans="1:9" x14ac:dyDescent="0.25">
      <c r="A195" s="3" t="s">
        <v>107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 t="s">
        <v>135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10">
        <v>43110</v>
      </c>
      <c r="B197" s="2">
        <v>0.22439999999999999</v>
      </c>
      <c r="C197" s="2" t="s">
        <v>11</v>
      </c>
      <c r="D197" s="2">
        <v>0.2273</v>
      </c>
      <c r="E197" s="2" t="s">
        <v>11</v>
      </c>
      <c r="F197" s="2">
        <v>0.2223</v>
      </c>
      <c r="G197" s="2" t="s">
        <v>11</v>
      </c>
      <c r="H197" s="2">
        <v>0.184</v>
      </c>
      <c r="I197" s="2" t="s">
        <v>11</v>
      </c>
    </row>
    <row r="198" spans="1:9" x14ac:dyDescent="0.25">
      <c r="A198" s="10">
        <v>43420</v>
      </c>
      <c r="B198" s="2">
        <v>0.19070000000000001</v>
      </c>
      <c r="C198" s="2" t="s">
        <v>11</v>
      </c>
      <c r="D198" s="2">
        <v>0.19220000000000001</v>
      </c>
      <c r="E198" s="2" t="s">
        <v>11</v>
      </c>
      <c r="F198" s="2">
        <v>0.18970000000000001</v>
      </c>
      <c r="G198" s="2" t="s">
        <v>11</v>
      </c>
      <c r="H198" s="2">
        <v>0.16830000000000001</v>
      </c>
      <c r="I198" s="2" t="s">
        <v>11</v>
      </c>
    </row>
    <row r="199" spans="1:9" x14ac:dyDescent="0.25">
      <c r="A199" s="3" t="s">
        <v>136</v>
      </c>
      <c r="B199" s="2">
        <v>0.20619999999999999</v>
      </c>
      <c r="C199" s="2" t="s">
        <v>11</v>
      </c>
      <c r="D199" s="2">
        <v>0.20669999999999999</v>
      </c>
      <c r="E199" s="2" t="s">
        <v>11</v>
      </c>
      <c r="F199" s="2">
        <v>0.20580000000000001</v>
      </c>
      <c r="G199" s="2" t="s">
        <v>11</v>
      </c>
      <c r="H199" s="2">
        <v>0.19489999999999999</v>
      </c>
      <c r="I199" s="2" t="s">
        <v>11</v>
      </c>
    </row>
    <row r="200" spans="1:9" x14ac:dyDescent="0.25">
      <c r="A200" s="3" t="s">
        <v>137</v>
      </c>
      <c r="B200" s="2">
        <v>0.18090000000000001</v>
      </c>
      <c r="C200" s="2" t="s">
        <v>11</v>
      </c>
      <c r="D200" s="2">
        <v>0.18010000000000001</v>
      </c>
      <c r="E200" s="2" t="s">
        <v>11</v>
      </c>
      <c r="F200" s="2">
        <v>0.18140000000000001</v>
      </c>
      <c r="G200" s="2" t="s">
        <v>11</v>
      </c>
      <c r="H200" s="2">
        <v>0.188</v>
      </c>
      <c r="I200" s="2" t="s">
        <v>11</v>
      </c>
    </row>
    <row r="201" spans="1:9" x14ac:dyDescent="0.25">
      <c r="A201" s="3" t="s">
        <v>138</v>
      </c>
      <c r="B201" s="2">
        <v>0.1978</v>
      </c>
      <c r="C201" s="2" t="s">
        <v>11</v>
      </c>
      <c r="D201" s="2">
        <v>0.19359999999999999</v>
      </c>
      <c r="E201" s="2" t="s">
        <v>11</v>
      </c>
      <c r="F201" s="2">
        <v>0.20080000000000001</v>
      </c>
      <c r="G201" s="2" t="s">
        <v>11</v>
      </c>
      <c r="H201" s="2">
        <v>0.26479999999999998</v>
      </c>
      <c r="I201" s="2" t="s">
        <v>11</v>
      </c>
    </row>
    <row r="202" spans="1:9" x14ac:dyDescent="0.25">
      <c r="A202" s="3" t="s">
        <v>131</v>
      </c>
      <c r="B202" s="2">
        <v>23.781099999999999</v>
      </c>
      <c r="C202" s="2" t="s">
        <v>11</v>
      </c>
      <c r="D202" s="2">
        <v>23.553599999999999</v>
      </c>
      <c r="E202" s="2" t="s">
        <v>11</v>
      </c>
      <c r="F202" s="2">
        <v>23.948</v>
      </c>
      <c r="G202" s="2" t="s">
        <v>11</v>
      </c>
      <c r="H202" s="2">
        <v>27.601600000000001</v>
      </c>
      <c r="I202" s="2" t="s">
        <v>11</v>
      </c>
    </row>
    <row r="204" spans="1:9" ht="18.75" x14ac:dyDescent="0.25">
      <c r="A204" s="1" t="s">
        <v>113</v>
      </c>
    </row>
    <row r="206" spans="1:9" x14ac:dyDescent="0.25">
      <c r="A206" s="2"/>
      <c r="B206" s="3" t="s">
        <v>42</v>
      </c>
      <c r="C206" s="3" t="s">
        <v>43</v>
      </c>
      <c r="D206" s="3" t="s">
        <v>44</v>
      </c>
      <c r="E206" s="3" t="s">
        <v>45</v>
      </c>
    </row>
    <row r="207" spans="1:9" x14ac:dyDescent="0.25">
      <c r="A207" s="3" t="s">
        <v>114</v>
      </c>
      <c r="B207" s="2">
        <v>0.65839999999999999</v>
      </c>
      <c r="C207" s="2">
        <v>0.1643</v>
      </c>
      <c r="D207" s="2">
        <v>0.1608</v>
      </c>
      <c r="E207" s="2">
        <v>1.66E-2</v>
      </c>
    </row>
    <row r="208" spans="1:9" x14ac:dyDescent="0.25">
      <c r="A208" s="3" t="s">
        <v>107</v>
      </c>
      <c r="B208" s="2"/>
      <c r="C208" s="2"/>
      <c r="D208" s="2"/>
      <c r="E208" s="2"/>
    </row>
    <row r="209" spans="1:9" x14ac:dyDescent="0.25">
      <c r="A209" s="3" t="s">
        <v>135</v>
      </c>
      <c r="B209" s="2"/>
      <c r="C209" s="2"/>
      <c r="D209" s="2"/>
      <c r="E209" s="2"/>
    </row>
    <row r="210" spans="1:9" x14ac:dyDescent="0.25">
      <c r="A210" s="10">
        <v>43110</v>
      </c>
      <c r="B210" s="2">
        <v>0.65990000000000004</v>
      </c>
      <c r="C210" s="2">
        <v>0.1668</v>
      </c>
      <c r="D210" s="2">
        <v>0.15970000000000001</v>
      </c>
      <c r="E210" s="2">
        <v>1.3599999999999999E-2</v>
      </c>
    </row>
    <row r="211" spans="1:9" x14ac:dyDescent="0.25">
      <c r="A211" s="10">
        <v>43420</v>
      </c>
      <c r="B211" s="2">
        <v>0.65939999999999999</v>
      </c>
      <c r="C211" s="2">
        <v>0.1658</v>
      </c>
      <c r="D211" s="2">
        <v>0.16009999999999999</v>
      </c>
      <c r="E211" s="2">
        <v>1.46E-2</v>
      </c>
    </row>
    <row r="212" spans="1:9" x14ac:dyDescent="0.25">
      <c r="A212" s="3" t="s">
        <v>136</v>
      </c>
      <c r="B212" s="2">
        <v>0.65890000000000004</v>
      </c>
      <c r="C212" s="2">
        <v>0.1648</v>
      </c>
      <c r="D212" s="2">
        <v>0.16059999999999999</v>
      </c>
      <c r="E212" s="2">
        <v>1.5699999999999999E-2</v>
      </c>
    </row>
    <row r="213" spans="1:9" x14ac:dyDescent="0.25">
      <c r="A213" s="3" t="s">
        <v>137</v>
      </c>
      <c r="B213" s="2">
        <v>0.65810000000000002</v>
      </c>
      <c r="C213" s="2">
        <v>0.16350000000000001</v>
      </c>
      <c r="D213" s="2">
        <v>0.16120000000000001</v>
      </c>
      <c r="E213" s="2">
        <v>1.72E-2</v>
      </c>
    </row>
    <row r="214" spans="1:9" x14ac:dyDescent="0.25">
      <c r="A214" s="3" t="s">
        <v>138</v>
      </c>
      <c r="B214" s="2">
        <v>0.6552</v>
      </c>
      <c r="C214" s="2">
        <v>0.15989999999999999</v>
      </c>
      <c r="D214" s="2">
        <v>0.16259999999999999</v>
      </c>
      <c r="E214" s="2">
        <v>2.23E-2</v>
      </c>
    </row>
    <row r="216" spans="1:9" ht="18.75" x14ac:dyDescent="0.25">
      <c r="A216" s="1" t="s">
        <v>115</v>
      </c>
    </row>
    <row r="218" spans="1:9" x14ac:dyDescent="0.25">
      <c r="A218" s="2"/>
      <c r="B218" s="35" t="s">
        <v>110</v>
      </c>
      <c r="C218" s="36"/>
      <c r="D218" s="36"/>
      <c r="E218" s="36"/>
      <c r="F218" s="36"/>
      <c r="G218" s="36"/>
      <c r="H218" s="36"/>
      <c r="I218" s="37"/>
    </row>
    <row r="219" spans="1:9" x14ac:dyDescent="0.25">
      <c r="A219" s="3" t="s">
        <v>135</v>
      </c>
      <c r="B219" s="3">
        <v>1</v>
      </c>
      <c r="C219" s="3" t="s">
        <v>105</v>
      </c>
      <c r="D219" s="3">
        <v>2</v>
      </c>
      <c r="E219" s="3" t="s">
        <v>105</v>
      </c>
      <c r="F219" s="3">
        <v>3</v>
      </c>
      <c r="G219" s="3" t="s">
        <v>105</v>
      </c>
      <c r="H219" s="3">
        <v>4</v>
      </c>
      <c r="I219" s="3" t="s">
        <v>105</v>
      </c>
    </row>
    <row r="220" spans="1:9" x14ac:dyDescent="0.25">
      <c r="A220" s="3">
        <v>1</v>
      </c>
      <c r="B220" s="2">
        <v>0.6603</v>
      </c>
      <c r="C220" s="2">
        <v>2.9499999999999998E-2</v>
      </c>
      <c r="D220" s="2">
        <v>0.1676</v>
      </c>
      <c r="E220" s="2">
        <v>2.3800000000000002E-2</v>
      </c>
      <c r="F220" s="2">
        <v>0.1593</v>
      </c>
      <c r="G220" s="2">
        <v>2.46E-2</v>
      </c>
      <c r="H220" s="2">
        <v>1.29E-2</v>
      </c>
      <c r="I220" s="2">
        <v>4.7000000000000002E-3</v>
      </c>
    </row>
    <row r="221" spans="1:9" x14ac:dyDescent="0.25">
      <c r="A221" s="3">
        <v>2</v>
      </c>
      <c r="B221" s="2">
        <v>0.66020000000000001</v>
      </c>
      <c r="C221" s="2">
        <v>2.8799999999999999E-2</v>
      </c>
      <c r="D221" s="2">
        <v>0.16739999999999999</v>
      </c>
      <c r="E221" s="2">
        <v>2.3300000000000001E-2</v>
      </c>
      <c r="F221" s="2">
        <v>0.1593</v>
      </c>
      <c r="G221" s="2">
        <v>2.3900000000000001E-2</v>
      </c>
      <c r="H221" s="2">
        <v>1.2999999999999999E-2</v>
      </c>
      <c r="I221" s="2">
        <v>4.5999999999999999E-3</v>
      </c>
    </row>
    <row r="222" spans="1:9" x14ac:dyDescent="0.25">
      <c r="A222" s="3">
        <v>3</v>
      </c>
      <c r="B222" s="2">
        <v>0.66020000000000001</v>
      </c>
      <c r="C222" s="2">
        <v>2.81E-2</v>
      </c>
      <c r="D222" s="2">
        <v>0.1673</v>
      </c>
      <c r="E222" s="2">
        <v>2.2700000000000001E-2</v>
      </c>
      <c r="F222" s="2">
        <v>0.15939999999999999</v>
      </c>
      <c r="G222" s="2">
        <v>2.3199999999999998E-2</v>
      </c>
      <c r="H222" s="2">
        <v>1.3100000000000001E-2</v>
      </c>
      <c r="I222" s="2">
        <v>4.5999999999999999E-3</v>
      </c>
    </row>
    <row r="223" spans="1:9" x14ac:dyDescent="0.25">
      <c r="A223" s="3">
        <v>4</v>
      </c>
      <c r="B223" s="2">
        <v>0.66010000000000002</v>
      </c>
      <c r="C223" s="2">
        <v>2.7400000000000001E-2</v>
      </c>
      <c r="D223" s="2">
        <v>0.16719999999999999</v>
      </c>
      <c r="E223" s="2">
        <v>2.2200000000000001E-2</v>
      </c>
      <c r="F223" s="2">
        <v>0.1595</v>
      </c>
      <c r="G223" s="2">
        <v>2.2499999999999999E-2</v>
      </c>
      <c r="H223" s="2">
        <v>1.3299999999999999E-2</v>
      </c>
      <c r="I223" s="2">
        <v>4.5999999999999999E-3</v>
      </c>
    </row>
    <row r="224" spans="1:9" x14ac:dyDescent="0.25">
      <c r="A224" s="3">
        <v>5</v>
      </c>
      <c r="B224" s="2">
        <v>0.66</v>
      </c>
      <c r="C224" s="2">
        <v>2.6700000000000002E-2</v>
      </c>
      <c r="D224" s="2">
        <v>0.16700000000000001</v>
      </c>
      <c r="E224" s="2">
        <v>2.1700000000000001E-2</v>
      </c>
      <c r="F224" s="2">
        <v>0.15959999999999999</v>
      </c>
      <c r="G224" s="2">
        <v>2.18E-2</v>
      </c>
      <c r="H224" s="2">
        <v>1.34E-2</v>
      </c>
      <c r="I224" s="2">
        <v>4.4999999999999997E-3</v>
      </c>
    </row>
    <row r="225" spans="1:9" x14ac:dyDescent="0.25">
      <c r="A225" s="3">
        <v>6</v>
      </c>
      <c r="B225" s="2">
        <v>0.66</v>
      </c>
      <c r="C225" s="2">
        <v>2.5999999999999999E-2</v>
      </c>
      <c r="D225" s="2">
        <v>0.16689999999999999</v>
      </c>
      <c r="E225" s="2">
        <v>2.1299999999999999E-2</v>
      </c>
      <c r="F225" s="2">
        <v>0.15959999999999999</v>
      </c>
      <c r="G225" s="2">
        <v>2.12E-2</v>
      </c>
      <c r="H225" s="2">
        <v>1.35E-2</v>
      </c>
      <c r="I225" s="2">
        <v>4.4999999999999997E-3</v>
      </c>
    </row>
    <row r="226" spans="1:9" x14ac:dyDescent="0.25">
      <c r="A226" s="3">
        <v>7</v>
      </c>
      <c r="B226" s="2">
        <v>0.65990000000000004</v>
      </c>
      <c r="C226" s="2">
        <v>2.5399999999999999E-2</v>
      </c>
      <c r="D226" s="2">
        <v>0.16669999999999999</v>
      </c>
      <c r="E226" s="2">
        <v>2.0799999999999999E-2</v>
      </c>
      <c r="F226" s="2">
        <v>0.15970000000000001</v>
      </c>
      <c r="G226" s="2">
        <v>2.0500000000000001E-2</v>
      </c>
      <c r="H226" s="2">
        <v>1.37E-2</v>
      </c>
      <c r="I226" s="2">
        <v>4.4999999999999997E-3</v>
      </c>
    </row>
    <row r="227" spans="1:9" x14ac:dyDescent="0.25">
      <c r="A227" s="3">
        <v>8</v>
      </c>
      <c r="B227" s="2">
        <v>0.65980000000000005</v>
      </c>
      <c r="C227" s="2">
        <v>2.47E-2</v>
      </c>
      <c r="D227" s="2">
        <v>0.1666</v>
      </c>
      <c r="E227" s="2">
        <v>2.0400000000000001E-2</v>
      </c>
      <c r="F227" s="2">
        <v>0.1598</v>
      </c>
      <c r="G227" s="2">
        <v>1.9900000000000001E-2</v>
      </c>
      <c r="H227" s="2">
        <v>1.38E-2</v>
      </c>
      <c r="I227" s="2">
        <v>4.4999999999999997E-3</v>
      </c>
    </row>
    <row r="228" spans="1:9" x14ac:dyDescent="0.25">
      <c r="A228" s="3">
        <v>9</v>
      </c>
      <c r="B228" s="2">
        <v>0.65980000000000005</v>
      </c>
      <c r="C228" s="2">
        <v>2.41E-2</v>
      </c>
      <c r="D228" s="2">
        <v>0.16639999999999999</v>
      </c>
      <c r="E228" s="2">
        <v>1.9900000000000001E-2</v>
      </c>
      <c r="F228" s="2">
        <v>0.1598</v>
      </c>
      <c r="G228" s="2">
        <v>1.9300000000000001E-2</v>
      </c>
      <c r="H228" s="2">
        <v>1.4E-2</v>
      </c>
      <c r="I228" s="2">
        <v>4.4000000000000003E-3</v>
      </c>
    </row>
    <row r="229" spans="1:9" x14ac:dyDescent="0.25">
      <c r="A229" s="3">
        <v>10</v>
      </c>
      <c r="B229" s="2">
        <v>0.65969999999999995</v>
      </c>
      <c r="C229" s="2">
        <v>2.35E-2</v>
      </c>
      <c r="D229" s="2">
        <v>0.1663</v>
      </c>
      <c r="E229" s="2">
        <v>1.95E-2</v>
      </c>
      <c r="F229" s="2">
        <v>0.15989999999999999</v>
      </c>
      <c r="G229" s="2">
        <v>1.8700000000000001E-2</v>
      </c>
      <c r="H229" s="2">
        <v>1.41E-2</v>
      </c>
      <c r="I229" s="2">
        <v>4.4000000000000003E-3</v>
      </c>
    </row>
    <row r="230" spans="1:9" x14ac:dyDescent="0.25">
      <c r="A230" s="3">
        <v>11</v>
      </c>
      <c r="B230" s="2">
        <v>0.65959999999999996</v>
      </c>
      <c r="C230" s="2">
        <v>2.3E-2</v>
      </c>
      <c r="D230" s="2">
        <v>0.16619999999999999</v>
      </c>
      <c r="E230" s="2">
        <v>1.9099999999999999E-2</v>
      </c>
      <c r="F230" s="2">
        <v>0.16</v>
      </c>
      <c r="G230" s="2">
        <v>1.8100000000000002E-2</v>
      </c>
      <c r="H230" s="2">
        <v>1.43E-2</v>
      </c>
      <c r="I230" s="2">
        <v>4.4000000000000003E-3</v>
      </c>
    </row>
    <row r="231" spans="1:9" x14ac:dyDescent="0.25">
      <c r="A231" s="3">
        <v>12</v>
      </c>
      <c r="B231" s="2">
        <v>0.65949999999999998</v>
      </c>
      <c r="C231" s="2">
        <v>2.2499999999999999E-2</v>
      </c>
      <c r="D231" s="2">
        <v>0.16600000000000001</v>
      </c>
      <c r="E231" s="2">
        <v>1.8700000000000001E-2</v>
      </c>
      <c r="F231" s="2">
        <v>0.16</v>
      </c>
      <c r="G231" s="2">
        <v>1.7600000000000001E-2</v>
      </c>
      <c r="H231" s="2">
        <v>1.44E-2</v>
      </c>
      <c r="I231" s="2">
        <v>4.4000000000000003E-3</v>
      </c>
    </row>
    <row r="232" spans="1:9" x14ac:dyDescent="0.25">
      <c r="A232" s="3">
        <v>13</v>
      </c>
      <c r="B232" s="2">
        <v>0.65949999999999998</v>
      </c>
      <c r="C232" s="2">
        <v>2.1999999999999999E-2</v>
      </c>
      <c r="D232" s="2">
        <v>0.16589999999999999</v>
      </c>
      <c r="E232" s="2">
        <v>1.84E-2</v>
      </c>
      <c r="F232" s="2">
        <v>0.16009999999999999</v>
      </c>
      <c r="G232" s="2">
        <v>1.7100000000000001E-2</v>
      </c>
      <c r="H232" s="2">
        <v>1.46E-2</v>
      </c>
      <c r="I232" s="2">
        <v>4.3E-3</v>
      </c>
    </row>
    <row r="233" spans="1:9" x14ac:dyDescent="0.25">
      <c r="A233" s="3">
        <v>14</v>
      </c>
      <c r="B233" s="2">
        <v>0.65939999999999999</v>
      </c>
      <c r="C233" s="2">
        <v>2.1499999999999998E-2</v>
      </c>
      <c r="D233" s="2">
        <v>0.16569999999999999</v>
      </c>
      <c r="E233" s="2">
        <v>1.7999999999999999E-2</v>
      </c>
      <c r="F233" s="2">
        <v>0.16020000000000001</v>
      </c>
      <c r="G233" s="2">
        <v>1.66E-2</v>
      </c>
      <c r="H233" s="2">
        <v>1.47E-2</v>
      </c>
      <c r="I233" s="2">
        <v>4.3E-3</v>
      </c>
    </row>
    <row r="234" spans="1:9" x14ac:dyDescent="0.25">
      <c r="A234" s="3">
        <v>15</v>
      </c>
      <c r="B234" s="2">
        <v>0.6593</v>
      </c>
      <c r="C234" s="2">
        <v>2.1100000000000001E-2</v>
      </c>
      <c r="D234" s="2">
        <v>0.1656</v>
      </c>
      <c r="E234" s="2">
        <v>1.77E-2</v>
      </c>
      <c r="F234" s="2">
        <v>0.16020000000000001</v>
      </c>
      <c r="G234" s="2">
        <v>1.61E-2</v>
      </c>
      <c r="H234" s="2">
        <v>1.49E-2</v>
      </c>
      <c r="I234" s="2">
        <v>4.3E-3</v>
      </c>
    </row>
    <row r="235" spans="1:9" x14ac:dyDescent="0.25">
      <c r="A235" s="3">
        <v>16</v>
      </c>
      <c r="B235" s="2">
        <v>0.65920000000000001</v>
      </c>
      <c r="C235" s="2">
        <v>2.07E-2</v>
      </c>
      <c r="D235" s="2">
        <v>0.16539999999999999</v>
      </c>
      <c r="E235" s="2">
        <v>1.7500000000000002E-2</v>
      </c>
      <c r="F235" s="2">
        <v>0.1603</v>
      </c>
      <c r="G235" s="2">
        <v>1.5699999999999999E-2</v>
      </c>
      <c r="H235" s="2">
        <v>1.4999999999999999E-2</v>
      </c>
      <c r="I235" s="2">
        <v>4.3E-3</v>
      </c>
    </row>
    <row r="236" spans="1:9" x14ac:dyDescent="0.25">
      <c r="A236" s="3">
        <v>17</v>
      </c>
      <c r="B236" s="2">
        <v>0.65920000000000001</v>
      </c>
      <c r="C236" s="2">
        <v>2.0299999999999999E-2</v>
      </c>
      <c r="D236" s="2">
        <v>0.1653</v>
      </c>
      <c r="E236" s="2">
        <v>1.72E-2</v>
      </c>
      <c r="F236" s="2">
        <v>0.16039999999999999</v>
      </c>
      <c r="G236" s="2">
        <v>1.5299999999999999E-2</v>
      </c>
      <c r="H236" s="2">
        <v>1.52E-2</v>
      </c>
      <c r="I236" s="2">
        <v>4.3E-3</v>
      </c>
    </row>
    <row r="237" spans="1:9" x14ac:dyDescent="0.25">
      <c r="A237" s="3">
        <v>18</v>
      </c>
      <c r="B237" s="2">
        <v>0.65910000000000002</v>
      </c>
      <c r="C237" s="2">
        <v>0.02</v>
      </c>
      <c r="D237" s="2">
        <v>0.16520000000000001</v>
      </c>
      <c r="E237" s="2">
        <v>1.7000000000000001E-2</v>
      </c>
      <c r="F237" s="2">
        <v>0.16039999999999999</v>
      </c>
      <c r="G237" s="2">
        <v>1.4999999999999999E-2</v>
      </c>
      <c r="H237" s="2">
        <v>1.5299999999999999E-2</v>
      </c>
      <c r="I237" s="2">
        <v>4.3E-3</v>
      </c>
    </row>
    <row r="238" spans="1:9" x14ac:dyDescent="0.25">
      <c r="A238" s="3">
        <v>19</v>
      </c>
      <c r="B238" s="2">
        <v>0.65900000000000003</v>
      </c>
      <c r="C238" s="2">
        <v>1.9699999999999999E-2</v>
      </c>
      <c r="D238" s="2">
        <v>0.16500000000000001</v>
      </c>
      <c r="E238" s="2">
        <v>1.67E-2</v>
      </c>
      <c r="F238" s="2">
        <v>0.1605</v>
      </c>
      <c r="G238" s="2">
        <v>1.47E-2</v>
      </c>
      <c r="H238" s="2">
        <v>1.55E-2</v>
      </c>
      <c r="I238" s="2">
        <v>4.3E-3</v>
      </c>
    </row>
    <row r="239" spans="1:9" x14ac:dyDescent="0.25">
      <c r="A239" s="3">
        <v>20</v>
      </c>
      <c r="B239" s="2">
        <v>0.65890000000000004</v>
      </c>
      <c r="C239" s="2">
        <v>1.95E-2</v>
      </c>
      <c r="D239" s="2">
        <v>0.16489999999999999</v>
      </c>
      <c r="E239" s="2">
        <v>1.66E-2</v>
      </c>
      <c r="F239" s="2">
        <v>0.16059999999999999</v>
      </c>
      <c r="G239" s="2">
        <v>1.4500000000000001E-2</v>
      </c>
      <c r="H239" s="2">
        <v>1.5599999999999999E-2</v>
      </c>
      <c r="I239" s="2">
        <v>4.3E-3</v>
      </c>
    </row>
    <row r="240" spans="1:9" x14ac:dyDescent="0.25">
      <c r="A240" s="3">
        <v>21</v>
      </c>
      <c r="B240" s="2">
        <v>0.65880000000000005</v>
      </c>
      <c r="C240" s="2">
        <v>1.9300000000000001E-2</v>
      </c>
      <c r="D240" s="2">
        <v>0.16470000000000001</v>
      </c>
      <c r="E240" s="2">
        <v>1.6400000000000001E-2</v>
      </c>
      <c r="F240" s="2">
        <v>0.16059999999999999</v>
      </c>
      <c r="G240" s="2">
        <v>1.43E-2</v>
      </c>
      <c r="H240" s="2">
        <v>1.5800000000000002E-2</v>
      </c>
      <c r="I240" s="2">
        <v>4.3E-3</v>
      </c>
    </row>
    <row r="241" spans="1:9" x14ac:dyDescent="0.25">
      <c r="A241" s="3">
        <v>22</v>
      </c>
      <c r="B241" s="2">
        <v>0.65869999999999995</v>
      </c>
      <c r="C241" s="2">
        <v>1.9099999999999999E-2</v>
      </c>
      <c r="D241" s="2">
        <v>0.1646</v>
      </c>
      <c r="E241" s="2">
        <v>1.6299999999999999E-2</v>
      </c>
      <c r="F241" s="2">
        <v>0.16070000000000001</v>
      </c>
      <c r="G241" s="2">
        <v>1.41E-2</v>
      </c>
      <c r="H241" s="2">
        <v>1.6E-2</v>
      </c>
      <c r="I241" s="2">
        <v>4.4000000000000003E-3</v>
      </c>
    </row>
    <row r="242" spans="1:9" x14ac:dyDescent="0.25">
      <c r="A242" s="3">
        <v>23</v>
      </c>
      <c r="B242" s="2">
        <v>0.65869999999999995</v>
      </c>
      <c r="C242" s="2">
        <v>1.9E-2</v>
      </c>
      <c r="D242" s="2">
        <v>0.16439999999999999</v>
      </c>
      <c r="E242" s="2">
        <v>1.6199999999999999E-2</v>
      </c>
      <c r="F242" s="2">
        <v>0.1608</v>
      </c>
      <c r="G242" s="2">
        <v>1.41E-2</v>
      </c>
      <c r="H242" s="2">
        <v>1.61E-2</v>
      </c>
      <c r="I242" s="2">
        <v>4.4000000000000003E-3</v>
      </c>
    </row>
    <row r="243" spans="1:9" x14ac:dyDescent="0.25">
      <c r="A243" s="3">
        <v>24</v>
      </c>
      <c r="B243" s="2">
        <v>0.65859999999999996</v>
      </c>
      <c r="C243" s="2">
        <v>1.9E-2</v>
      </c>
      <c r="D243" s="2">
        <v>0.1643</v>
      </c>
      <c r="E243" s="2">
        <v>1.61E-2</v>
      </c>
      <c r="F243" s="2">
        <v>0.1608</v>
      </c>
      <c r="G243" s="2">
        <v>1.4E-2</v>
      </c>
      <c r="H243" s="2">
        <v>1.6299999999999999E-2</v>
      </c>
      <c r="I243" s="2">
        <v>4.4000000000000003E-3</v>
      </c>
    </row>
    <row r="244" spans="1:9" x14ac:dyDescent="0.25">
      <c r="A244" s="3">
        <v>25</v>
      </c>
      <c r="B244" s="2">
        <v>0.65849999999999997</v>
      </c>
      <c r="C244" s="2">
        <v>1.9E-2</v>
      </c>
      <c r="D244" s="2">
        <v>0.1641</v>
      </c>
      <c r="E244" s="2">
        <v>1.61E-2</v>
      </c>
      <c r="F244" s="2">
        <v>0.16089999999999999</v>
      </c>
      <c r="G244" s="2">
        <v>1.41E-2</v>
      </c>
      <c r="H244" s="2">
        <v>1.6500000000000001E-2</v>
      </c>
      <c r="I244" s="2">
        <v>4.4999999999999997E-3</v>
      </c>
    </row>
    <row r="245" spans="1:9" x14ac:dyDescent="0.25">
      <c r="A245" s="3">
        <v>26</v>
      </c>
      <c r="B245" s="2">
        <v>0.65839999999999999</v>
      </c>
      <c r="C245" s="2">
        <v>1.9099999999999999E-2</v>
      </c>
      <c r="D245" s="2">
        <v>0.16400000000000001</v>
      </c>
      <c r="E245" s="2">
        <v>1.61E-2</v>
      </c>
      <c r="F245" s="2">
        <v>0.161</v>
      </c>
      <c r="G245" s="2">
        <v>1.41E-2</v>
      </c>
      <c r="H245" s="2">
        <v>1.66E-2</v>
      </c>
      <c r="I245" s="2">
        <v>4.4999999999999997E-3</v>
      </c>
    </row>
    <row r="246" spans="1:9" x14ac:dyDescent="0.25">
      <c r="A246" s="3">
        <v>27</v>
      </c>
      <c r="B246" s="2">
        <v>0.6583</v>
      </c>
      <c r="C246" s="2">
        <v>1.9199999999999998E-2</v>
      </c>
      <c r="D246" s="2">
        <v>0.1638</v>
      </c>
      <c r="E246" s="2">
        <v>1.6199999999999999E-2</v>
      </c>
      <c r="F246" s="2">
        <v>0.161</v>
      </c>
      <c r="G246" s="2">
        <v>1.43E-2</v>
      </c>
      <c r="H246" s="2">
        <v>1.6799999999999999E-2</v>
      </c>
      <c r="I246" s="2">
        <v>4.5999999999999999E-3</v>
      </c>
    </row>
    <row r="247" spans="1:9" x14ac:dyDescent="0.25">
      <c r="A247" s="3">
        <v>28</v>
      </c>
      <c r="B247" s="2">
        <v>0.65820000000000001</v>
      </c>
      <c r="C247" s="2">
        <v>1.9300000000000001E-2</v>
      </c>
      <c r="D247" s="2">
        <v>0.16370000000000001</v>
      </c>
      <c r="E247" s="2">
        <v>1.6199999999999999E-2</v>
      </c>
      <c r="F247" s="2">
        <v>0.16109999999999999</v>
      </c>
      <c r="G247" s="2">
        <v>1.4500000000000001E-2</v>
      </c>
      <c r="H247" s="2">
        <v>1.7000000000000001E-2</v>
      </c>
      <c r="I247" s="2">
        <v>4.5999999999999999E-3</v>
      </c>
    </row>
    <row r="248" spans="1:9" x14ac:dyDescent="0.25">
      <c r="A248" s="3">
        <v>29</v>
      </c>
      <c r="B248" s="2">
        <v>0.65810000000000002</v>
      </c>
      <c r="C248" s="2">
        <v>1.95E-2</v>
      </c>
      <c r="D248" s="2">
        <v>0.1636</v>
      </c>
      <c r="E248" s="2">
        <v>1.6299999999999999E-2</v>
      </c>
      <c r="F248" s="2">
        <v>0.16120000000000001</v>
      </c>
      <c r="G248" s="2">
        <v>1.47E-2</v>
      </c>
      <c r="H248" s="2">
        <v>1.72E-2</v>
      </c>
      <c r="I248" s="2">
        <v>4.7000000000000002E-3</v>
      </c>
    </row>
    <row r="249" spans="1:9" x14ac:dyDescent="0.25">
      <c r="A249" s="3">
        <v>30</v>
      </c>
      <c r="B249" s="2">
        <v>0.65800000000000003</v>
      </c>
      <c r="C249" s="2">
        <v>1.9800000000000002E-2</v>
      </c>
      <c r="D249" s="2">
        <v>0.16339999999999999</v>
      </c>
      <c r="E249" s="2">
        <v>1.6400000000000001E-2</v>
      </c>
      <c r="F249" s="2">
        <v>0.16120000000000001</v>
      </c>
      <c r="G249" s="2">
        <v>1.4999999999999999E-2</v>
      </c>
      <c r="H249" s="2">
        <v>1.7299999999999999E-2</v>
      </c>
      <c r="I249" s="2">
        <v>4.7999999999999996E-3</v>
      </c>
    </row>
    <row r="250" spans="1:9" x14ac:dyDescent="0.25">
      <c r="A250" s="3">
        <v>31</v>
      </c>
      <c r="B250" s="2">
        <v>0.65790000000000004</v>
      </c>
      <c r="C250" s="2">
        <v>0.02</v>
      </c>
      <c r="D250" s="2">
        <v>0.1633</v>
      </c>
      <c r="E250" s="2">
        <v>1.66E-2</v>
      </c>
      <c r="F250" s="2">
        <v>0.1613</v>
      </c>
      <c r="G250" s="2">
        <v>1.5299999999999999E-2</v>
      </c>
      <c r="H250" s="2">
        <v>1.7500000000000002E-2</v>
      </c>
      <c r="I250" s="2">
        <v>4.7999999999999996E-3</v>
      </c>
    </row>
    <row r="251" spans="1:9" x14ac:dyDescent="0.25">
      <c r="A251" s="3">
        <v>32</v>
      </c>
      <c r="B251" s="2">
        <v>0.65780000000000005</v>
      </c>
      <c r="C251" s="2">
        <v>2.0400000000000001E-2</v>
      </c>
      <c r="D251" s="2">
        <v>0.16309999999999999</v>
      </c>
      <c r="E251" s="2">
        <v>1.6799999999999999E-2</v>
      </c>
      <c r="F251" s="2">
        <v>0.16139999999999999</v>
      </c>
      <c r="G251" s="2">
        <v>1.5699999999999999E-2</v>
      </c>
      <c r="H251" s="2">
        <v>1.77E-2</v>
      </c>
      <c r="I251" s="2">
        <v>4.8999999999999998E-3</v>
      </c>
    </row>
    <row r="252" spans="1:9" x14ac:dyDescent="0.25">
      <c r="A252" s="3">
        <v>33</v>
      </c>
      <c r="B252" s="2">
        <v>0.65769999999999995</v>
      </c>
      <c r="C252" s="2">
        <v>2.07E-2</v>
      </c>
      <c r="D252" s="2">
        <v>0.16300000000000001</v>
      </c>
      <c r="E252" s="2">
        <v>1.7000000000000001E-2</v>
      </c>
      <c r="F252" s="2">
        <v>0.16139999999999999</v>
      </c>
      <c r="G252" s="2">
        <v>1.61E-2</v>
      </c>
      <c r="H252" s="2">
        <v>1.7899999999999999E-2</v>
      </c>
      <c r="I252" s="2">
        <v>5.0000000000000001E-3</v>
      </c>
    </row>
    <row r="253" spans="1:9" x14ac:dyDescent="0.25">
      <c r="A253" s="3">
        <v>34</v>
      </c>
      <c r="B253" s="2">
        <v>0.65759999999999996</v>
      </c>
      <c r="C253" s="2">
        <v>2.1100000000000001E-2</v>
      </c>
      <c r="D253" s="2">
        <v>0.1628</v>
      </c>
      <c r="E253" s="2">
        <v>1.72E-2</v>
      </c>
      <c r="F253" s="2">
        <v>0.1615</v>
      </c>
      <c r="G253" s="2">
        <v>1.66E-2</v>
      </c>
      <c r="H253" s="2">
        <v>1.8100000000000002E-2</v>
      </c>
      <c r="I253" s="2">
        <v>5.1000000000000004E-3</v>
      </c>
    </row>
    <row r="254" spans="1:9" x14ac:dyDescent="0.25">
      <c r="A254" s="3">
        <v>35</v>
      </c>
      <c r="B254" s="2">
        <v>0.65749999999999997</v>
      </c>
      <c r="C254" s="2">
        <v>2.1600000000000001E-2</v>
      </c>
      <c r="D254" s="2">
        <v>0.16270000000000001</v>
      </c>
      <c r="E254" s="2">
        <v>1.7399999999999999E-2</v>
      </c>
      <c r="F254" s="2">
        <v>0.16159999999999999</v>
      </c>
      <c r="G254" s="2">
        <v>1.7100000000000001E-2</v>
      </c>
      <c r="H254" s="2">
        <v>1.8200000000000001E-2</v>
      </c>
      <c r="I254" s="2">
        <v>5.1999999999999998E-3</v>
      </c>
    </row>
    <row r="255" spans="1:9" x14ac:dyDescent="0.25">
      <c r="A255" s="3">
        <v>36</v>
      </c>
      <c r="B255" s="2">
        <v>0.65739999999999998</v>
      </c>
      <c r="C255" s="2">
        <v>2.2100000000000002E-2</v>
      </c>
      <c r="D255" s="2">
        <v>0.16250000000000001</v>
      </c>
      <c r="E255" s="2">
        <v>1.77E-2</v>
      </c>
      <c r="F255" s="2">
        <v>0.16159999999999999</v>
      </c>
      <c r="G255" s="2">
        <v>1.7600000000000001E-2</v>
      </c>
      <c r="H255" s="2">
        <v>1.84E-2</v>
      </c>
      <c r="I255" s="2">
        <v>5.3E-3</v>
      </c>
    </row>
    <row r="256" spans="1:9" x14ac:dyDescent="0.25">
      <c r="A256" s="3">
        <v>37</v>
      </c>
      <c r="B256" s="2">
        <v>0.6573</v>
      </c>
      <c r="C256" s="2">
        <v>2.2599999999999999E-2</v>
      </c>
      <c r="D256" s="2">
        <v>0.16239999999999999</v>
      </c>
      <c r="E256" s="2">
        <v>1.7999999999999999E-2</v>
      </c>
      <c r="F256" s="2">
        <v>0.16170000000000001</v>
      </c>
      <c r="G256" s="2">
        <v>1.8100000000000002E-2</v>
      </c>
      <c r="H256" s="2">
        <v>1.8599999999999998E-2</v>
      </c>
      <c r="I256" s="2">
        <v>5.4999999999999997E-3</v>
      </c>
    </row>
    <row r="257" spans="1:9" x14ac:dyDescent="0.25">
      <c r="A257" s="3">
        <v>38</v>
      </c>
      <c r="B257" s="2">
        <v>0.65720000000000001</v>
      </c>
      <c r="C257" s="2">
        <v>2.3099999999999999E-2</v>
      </c>
      <c r="D257" s="2">
        <v>0.16220000000000001</v>
      </c>
      <c r="E257" s="2">
        <v>1.83E-2</v>
      </c>
      <c r="F257" s="2">
        <v>0.16170000000000001</v>
      </c>
      <c r="G257" s="2">
        <v>1.8700000000000001E-2</v>
      </c>
      <c r="H257" s="2">
        <v>1.8800000000000001E-2</v>
      </c>
      <c r="I257" s="2">
        <v>5.5999999999999999E-3</v>
      </c>
    </row>
    <row r="258" spans="1:9" x14ac:dyDescent="0.25">
      <c r="A258" s="3">
        <v>39</v>
      </c>
      <c r="B258" s="2">
        <v>0.65710000000000002</v>
      </c>
      <c r="C258" s="2">
        <v>2.3699999999999999E-2</v>
      </c>
      <c r="D258" s="2">
        <v>0.16209999999999999</v>
      </c>
      <c r="E258" s="2">
        <v>1.8700000000000001E-2</v>
      </c>
      <c r="F258" s="2">
        <v>0.1618</v>
      </c>
      <c r="G258" s="2">
        <v>1.9300000000000001E-2</v>
      </c>
      <c r="H258" s="2">
        <v>1.9E-2</v>
      </c>
      <c r="I258" s="2">
        <v>5.7000000000000002E-3</v>
      </c>
    </row>
    <row r="259" spans="1:9" x14ac:dyDescent="0.25">
      <c r="A259" s="3">
        <v>40</v>
      </c>
      <c r="B259" s="2">
        <v>0.65700000000000003</v>
      </c>
      <c r="C259" s="2">
        <v>2.4299999999999999E-2</v>
      </c>
      <c r="D259" s="2">
        <v>0.16189999999999999</v>
      </c>
      <c r="E259" s="2">
        <v>1.9E-2</v>
      </c>
      <c r="F259" s="2">
        <v>0.16189999999999999</v>
      </c>
      <c r="G259" s="2">
        <v>1.9900000000000001E-2</v>
      </c>
      <c r="H259" s="2">
        <v>1.9199999999999998E-2</v>
      </c>
      <c r="I259" s="2">
        <v>5.8999999999999999E-3</v>
      </c>
    </row>
    <row r="260" spans="1:9" x14ac:dyDescent="0.25">
      <c r="A260" s="3">
        <v>41</v>
      </c>
      <c r="B260" s="2">
        <v>0.65690000000000004</v>
      </c>
      <c r="C260" s="2">
        <v>2.4899999999999999E-2</v>
      </c>
      <c r="D260" s="2">
        <v>0.1618</v>
      </c>
      <c r="E260" s="2">
        <v>1.9400000000000001E-2</v>
      </c>
      <c r="F260" s="2">
        <v>0.16189999999999999</v>
      </c>
      <c r="G260" s="2">
        <v>2.06E-2</v>
      </c>
      <c r="H260" s="2">
        <v>1.9400000000000001E-2</v>
      </c>
      <c r="I260" s="2">
        <v>6.0000000000000001E-3</v>
      </c>
    </row>
    <row r="261" spans="1:9" x14ac:dyDescent="0.25">
      <c r="A261" s="3">
        <v>42</v>
      </c>
      <c r="B261" s="2">
        <v>0.65680000000000005</v>
      </c>
      <c r="C261" s="2">
        <v>2.5499999999999998E-2</v>
      </c>
      <c r="D261" s="2">
        <v>0.16159999999999999</v>
      </c>
      <c r="E261" s="2">
        <v>1.9800000000000002E-2</v>
      </c>
      <c r="F261" s="2">
        <v>0.16200000000000001</v>
      </c>
      <c r="G261" s="2">
        <v>2.1299999999999999E-2</v>
      </c>
      <c r="H261" s="2">
        <v>1.9599999999999999E-2</v>
      </c>
      <c r="I261" s="2">
        <v>6.1999999999999998E-3</v>
      </c>
    </row>
    <row r="262" spans="1:9" x14ac:dyDescent="0.25">
      <c r="A262" s="3">
        <v>43</v>
      </c>
      <c r="B262" s="2">
        <v>0.65669999999999995</v>
      </c>
      <c r="C262" s="2">
        <v>2.6200000000000001E-2</v>
      </c>
      <c r="D262" s="2">
        <v>0.1615</v>
      </c>
      <c r="E262" s="2">
        <v>2.0199999999999999E-2</v>
      </c>
      <c r="F262" s="2">
        <v>0.16200000000000001</v>
      </c>
      <c r="G262" s="2">
        <v>2.1899999999999999E-2</v>
      </c>
      <c r="H262" s="2">
        <v>1.9800000000000002E-2</v>
      </c>
      <c r="I262" s="2">
        <v>6.3E-3</v>
      </c>
    </row>
    <row r="263" spans="1:9" x14ac:dyDescent="0.25">
      <c r="A263" s="3">
        <v>44</v>
      </c>
      <c r="B263" s="2">
        <v>0.65659999999999996</v>
      </c>
      <c r="C263" s="2">
        <v>2.6800000000000001E-2</v>
      </c>
      <c r="D263" s="2">
        <v>0.1613</v>
      </c>
      <c r="E263" s="2">
        <v>2.06E-2</v>
      </c>
      <c r="F263" s="2">
        <v>0.16209999999999999</v>
      </c>
      <c r="G263" s="2">
        <v>2.2599999999999999E-2</v>
      </c>
      <c r="H263" s="2">
        <v>0.02</v>
      </c>
      <c r="I263" s="2">
        <v>6.4999999999999997E-3</v>
      </c>
    </row>
    <row r="264" spans="1:9" x14ac:dyDescent="0.25">
      <c r="A264" s="3">
        <v>45</v>
      </c>
      <c r="B264" s="2">
        <v>0.65639999999999998</v>
      </c>
      <c r="C264" s="2">
        <v>2.75E-2</v>
      </c>
      <c r="D264" s="2">
        <v>0.16120000000000001</v>
      </c>
      <c r="E264" s="2">
        <v>2.1100000000000001E-2</v>
      </c>
      <c r="F264" s="2">
        <v>0.16220000000000001</v>
      </c>
      <c r="G264" s="2">
        <v>2.3300000000000001E-2</v>
      </c>
      <c r="H264" s="2">
        <v>2.0199999999999999E-2</v>
      </c>
      <c r="I264" s="2">
        <v>6.7000000000000002E-3</v>
      </c>
    </row>
    <row r="265" spans="1:9" x14ac:dyDescent="0.25">
      <c r="A265" s="3">
        <v>46</v>
      </c>
      <c r="B265" s="2">
        <v>0.65629999999999999</v>
      </c>
      <c r="C265" s="2">
        <v>2.8299999999999999E-2</v>
      </c>
      <c r="D265" s="2">
        <v>0.161</v>
      </c>
      <c r="E265" s="2">
        <v>2.1499999999999998E-2</v>
      </c>
      <c r="F265" s="2">
        <v>0.16220000000000001</v>
      </c>
      <c r="G265" s="2">
        <v>2.41E-2</v>
      </c>
      <c r="H265" s="2">
        <v>2.0400000000000001E-2</v>
      </c>
      <c r="I265" s="2">
        <v>6.8999999999999999E-3</v>
      </c>
    </row>
    <row r="266" spans="1:9" x14ac:dyDescent="0.25">
      <c r="A266" s="3">
        <v>47</v>
      </c>
      <c r="B266" s="2">
        <v>0.65620000000000001</v>
      </c>
      <c r="C266" s="2">
        <v>2.9000000000000001E-2</v>
      </c>
      <c r="D266" s="2">
        <v>0.16089999999999999</v>
      </c>
      <c r="E266" s="2">
        <v>2.1999999999999999E-2</v>
      </c>
      <c r="F266" s="2">
        <v>0.1623</v>
      </c>
      <c r="G266" s="2">
        <v>2.4799999999999999E-2</v>
      </c>
      <c r="H266" s="2">
        <v>2.06E-2</v>
      </c>
      <c r="I266" s="2">
        <v>7.1000000000000004E-3</v>
      </c>
    </row>
    <row r="267" spans="1:9" x14ac:dyDescent="0.25">
      <c r="A267" s="3">
        <v>48</v>
      </c>
      <c r="B267" s="2">
        <v>0.65610000000000002</v>
      </c>
      <c r="C267" s="2">
        <v>2.9700000000000001E-2</v>
      </c>
      <c r="D267" s="2">
        <v>0.16070000000000001</v>
      </c>
      <c r="E267" s="2">
        <v>2.24E-2</v>
      </c>
      <c r="F267" s="2">
        <v>0.1623</v>
      </c>
      <c r="G267" s="2">
        <v>2.5499999999999998E-2</v>
      </c>
      <c r="H267" s="2">
        <v>2.0799999999999999E-2</v>
      </c>
      <c r="I267" s="2">
        <v>7.3000000000000001E-3</v>
      </c>
    </row>
    <row r="268" spans="1:9" x14ac:dyDescent="0.25">
      <c r="A268" s="3">
        <v>49</v>
      </c>
      <c r="B268" s="2">
        <v>0.65600000000000003</v>
      </c>
      <c r="C268" s="2">
        <v>3.0499999999999999E-2</v>
      </c>
      <c r="D268" s="2">
        <v>0.16059999999999999</v>
      </c>
      <c r="E268" s="2">
        <v>2.29E-2</v>
      </c>
      <c r="F268" s="2">
        <v>0.16239999999999999</v>
      </c>
      <c r="G268" s="2">
        <v>2.63E-2</v>
      </c>
      <c r="H268" s="2">
        <v>2.1100000000000001E-2</v>
      </c>
      <c r="I268" s="2">
        <v>7.4999999999999997E-3</v>
      </c>
    </row>
    <row r="269" spans="1:9" x14ac:dyDescent="0.25">
      <c r="A269" s="3">
        <v>50</v>
      </c>
      <c r="B269" s="2">
        <v>0.65580000000000005</v>
      </c>
      <c r="C269" s="2">
        <v>3.1199999999999999E-2</v>
      </c>
      <c r="D269" s="2">
        <v>0.16039999999999999</v>
      </c>
      <c r="E269" s="2">
        <v>2.3400000000000001E-2</v>
      </c>
      <c r="F269" s="2">
        <v>0.16239999999999999</v>
      </c>
      <c r="G269" s="2">
        <v>2.7E-2</v>
      </c>
      <c r="H269" s="2">
        <v>2.1299999999999999E-2</v>
      </c>
      <c r="I269" s="2">
        <v>7.7000000000000002E-3</v>
      </c>
    </row>
    <row r="270" spans="1:9" x14ac:dyDescent="0.25">
      <c r="A270" s="3">
        <v>51</v>
      </c>
      <c r="B270" s="2">
        <v>0.65569999999999995</v>
      </c>
      <c r="C270" s="2">
        <v>3.2000000000000001E-2</v>
      </c>
      <c r="D270" s="2">
        <v>0.1603</v>
      </c>
      <c r="E270" s="2">
        <v>2.3900000000000001E-2</v>
      </c>
      <c r="F270" s="2">
        <v>0.16250000000000001</v>
      </c>
      <c r="G270" s="2">
        <v>2.7799999999999998E-2</v>
      </c>
      <c r="H270" s="2">
        <v>2.1499999999999998E-2</v>
      </c>
      <c r="I270" s="2">
        <v>7.9000000000000008E-3</v>
      </c>
    </row>
    <row r="271" spans="1:9" x14ac:dyDescent="0.25">
      <c r="A271" s="3">
        <v>52</v>
      </c>
      <c r="B271" s="2">
        <v>0.65559999999999996</v>
      </c>
      <c r="C271" s="2">
        <v>3.2800000000000003E-2</v>
      </c>
      <c r="D271" s="2">
        <v>0.16009999999999999</v>
      </c>
      <c r="E271" s="2">
        <v>2.4400000000000002E-2</v>
      </c>
      <c r="F271" s="2">
        <v>0.16259999999999999</v>
      </c>
      <c r="G271" s="2">
        <v>2.86E-2</v>
      </c>
      <c r="H271" s="2">
        <v>2.1700000000000001E-2</v>
      </c>
      <c r="I271" s="2">
        <v>8.0999999999999996E-3</v>
      </c>
    </row>
    <row r="272" spans="1:9" x14ac:dyDescent="0.25">
      <c r="A272" s="3">
        <v>53</v>
      </c>
      <c r="B272" s="2">
        <v>0.65549999999999997</v>
      </c>
      <c r="C272" s="2">
        <v>3.3599999999999998E-2</v>
      </c>
      <c r="D272" s="2">
        <v>0.16</v>
      </c>
      <c r="E272" s="2">
        <v>2.4899999999999999E-2</v>
      </c>
      <c r="F272" s="2">
        <v>0.16259999999999999</v>
      </c>
      <c r="G272" s="2">
        <v>2.9399999999999999E-2</v>
      </c>
      <c r="H272" s="2">
        <v>2.1899999999999999E-2</v>
      </c>
      <c r="I272" s="2">
        <v>8.3999999999999995E-3</v>
      </c>
    </row>
    <row r="273" spans="1:9" x14ac:dyDescent="0.25">
      <c r="A273" s="3">
        <v>54</v>
      </c>
      <c r="B273" s="2">
        <v>0.65529999999999999</v>
      </c>
      <c r="C273" s="2">
        <v>3.44E-2</v>
      </c>
      <c r="D273" s="2">
        <v>0.1598</v>
      </c>
      <c r="E273" s="2">
        <v>2.5399999999999999E-2</v>
      </c>
      <c r="F273" s="2">
        <v>0.16270000000000001</v>
      </c>
      <c r="G273" s="2">
        <v>3.0200000000000001E-2</v>
      </c>
      <c r="H273" s="2">
        <v>2.2200000000000001E-2</v>
      </c>
      <c r="I273" s="2">
        <v>8.6E-3</v>
      </c>
    </row>
    <row r="274" spans="1:9" x14ac:dyDescent="0.25">
      <c r="A274" s="3">
        <v>55</v>
      </c>
      <c r="B274" s="2">
        <v>0.6552</v>
      </c>
      <c r="C274" s="2">
        <v>3.5200000000000002E-2</v>
      </c>
      <c r="D274" s="2">
        <v>0.15970000000000001</v>
      </c>
      <c r="E274" s="2">
        <v>2.5899999999999999E-2</v>
      </c>
      <c r="F274" s="2">
        <v>0.16270000000000001</v>
      </c>
      <c r="G274" s="2">
        <v>3.1E-2</v>
      </c>
      <c r="H274" s="2">
        <v>2.24E-2</v>
      </c>
      <c r="I274" s="2">
        <v>8.8000000000000005E-3</v>
      </c>
    </row>
    <row r="275" spans="1:9" x14ac:dyDescent="0.25">
      <c r="A275" s="3">
        <v>56</v>
      </c>
      <c r="B275" s="2">
        <v>0.65510000000000002</v>
      </c>
      <c r="C275" s="2">
        <v>3.5999999999999997E-2</v>
      </c>
      <c r="D275" s="2">
        <v>0.1595</v>
      </c>
      <c r="E275" s="2">
        <v>2.6499999999999999E-2</v>
      </c>
      <c r="F275" s="2">
        <v>0.1628</v>
      </c>
      <c r="G275" s="2">
        <v>3.1800000000000002E-2</v>
      </c>
      <c r="H275" s="2">
        <v>2.2599999999999999E-2</v>
      </c>
      <c r="I275" s="2">
        <v>9.1000000000000004E-3</v>
      </c>
    </row>
    <row r="276" spans="1:9" x14ac:dyDescent="0.25">
      <c r="A276" s="3">
        <v>57</v>
      </c>
      <c r="B276" s="2">
        <v>0.65490000000000004</v>
      </c>
      <c r="C276" s="2">
        <v>3.6900000000000002E-2</v>
      </c>
      <c r="D276" s="2">
        <v>0.15939999999999999</v>
      </c>
      <c r="E276" s="2">
        <v>2.7E-2</v>
      </c>
      <c r="F276" s="2">
        <v>0.1628</v>
      </c>
      <c r="G276" s="2">
        <v>3.2599999999999997E-2</v>
      </c>
      <c r="H276" s="2">
        <v>2.2800000000000001E-2</v>
      </c>
      <c r="I276" s="2">
        <v>9.4000000000000004E-3</v>
      </c>
    </row>
    <row r="277" spans="1:9" x14ac:dyDescent="0.25">
      <c r="A277" s="3">
        <v>58</v>
      </c>
      <c r="B277" s="2">
        <v>0.65480000000000005</v>
      </c>
      <c r="C277" s="2">
        <v>3.7699999999999997E-2</v>
      </c>
      <c r="D277" s="2">
        <v>0.15920000000000001</v>
      </c>
      <c r="E277" s="2">
        <v>2.75E-2</v>
      </c>
      <c r="F277" s="2">
        <v>0.16289999999999999</v>
      </c>
      <c r="G277" s="2">
        <v>3.3399999999999999E-2</v>
      </c>
      <c r="H277" s="2">
        <v>2.3099999999999999E-2</v>
      </c>
      <c r="I277" s="2">
        <v>9.5999999999999992E-3</v>
      </c>
    </row>
    <row r="278" spans="1:9" x14ac:dyDescent="0.25">
      <c r="A278" s="3">
        <v>59</v>
      </c>
      <c r="B278" s="2">
        <v>0.65469999999999995</v>
      </c>
      <c r="C278" s="2">
        <v>3.85E-2</v>
      </c>
      <c r="D278" s="2">
        <v>0.15909999999999999</v>
      </c>
      <c r="E278" s="2">
        <v>2.81E-2</v>
      </c>
      <c r="F278" s="2">
        <v>0.16289999999999999</v>
      </c>
      <c r="G278" s="2">
        <v>3.4200000000000001E-2</v>
      </c>
      <c r="H278" s="2">
        <v>2.3300000000000001E-2</v>
      </c>
      <c r="I278" s="2">
        <v>9.9000000000000008E-3</v>
      </c>
    </row>
    <row r="279" spans="1:9" x14ac:dyDescent="0.25">
      <c r="A279" s="3">
        <v>60</v>
      </c>
      <c r="B279" s="2">
        <v>0.65449999999999997</v>
      </c>
      <c r="C279" s="2">
        <v>3.9399999999999998E-2</v>
      </c>
      <c r="D279" s="2">
        <v>0.15890000000000001</v>
      </c>
      <c r="E279" s="2">
        <v>2.86E-2</v>
      </c>
      <c r="F279" s="2">
        <v>0.16300000000000001</v>
      </c>
      <c r="G279" s="2">
        <v>3.5000000000000003E-2</v>
      </c>
      <c r="H279" s="2">
        <v>2.3599999999999999E-2</v>
      </c>
      <c r="I279" s="2">
        <v>1.0200000000000001E-2</v>
      </c>
    </row>
    <row r="280" spans="1:9" x14ac:dyDescent="0.25">
      <c r="A280" s="3">
        <v>61</v>
      </c>
      <c r="B280" s="2">
        <v>0.65439999999999998</v>
      </c>
      <c r="C280" s="2">
        <v>4.02E-2</v>
      </c>
      <c r="D280" s="2">
        <v>0.1588</v>
      </c>
      <c r="E280" s="2">
        <v>2.92E-2</v>
      </c>
      <c r="F280" s="2">
        <v>0.16309999999999999</v>
      </c>
      <c r="G280" s="2">
        <v>3.5900000000000001E-2</v>
      </c>
      <c r="H280" s="2">
        <v>2.3800000000000002E-2</v>
      </c>
      <c r="I280" s="2">
        <v>1.0500000000000001E-2</v>
      </c>
    </row>
    <row r="281" spans="1:9" x14ac:dyDescent="0.25">
      <c r="A281" s="3">
        <v>62</v>
      </c>
      <c r="B281" s="2">
        <v>0.6542</v>
      </c>
      <c r="C281" s="2">
        <v>4.1099999999999998E-2</v>
      </c>
      <c r="D281" s="2">
        <v>0.15859999999999999</v>
      </c>
      <c r="E281" s="2">
        <v>2.9700000000000001E-2</v>
      </c>
      <c r="F281" s="2">
        <v>0.16309999999999999</v>
      </c>
      <c r="G281" s="2">
        <v>3.6700000000000003E-2</v>
      </c>
      <c r="H281" s="2">
        <v>2.4E-2</v>
      </c>
      <c r="I281" s="2">
        <v>1.0699999999999999E-2</v>
      </c>
    </row>
    <row r="282" spans="1:9" x14ac:dyDescent="0.25">
      <c r="A282" s="3">
        <v>63</v>
      </c>
      <c r="B282" s="2">
        <v>0.65410000000000001</v>
      </c>
      <c r="C282" s="2">
        <v>4.2000000000000003E-2</v>
      </c>
      <c r="D282" s="2">
        <v>0.1585</v>
      </c>
      <c r="E282" s="2">
        <v>3.0300000000000001E-2</v>
      </c>
      <c r="F282" s="2">
        <v>0.16320000000000001</v>
      </c>
      <c r="G282" s="2">
        <v>3.7499999999999999E-2</v>
      </c>
      <c r="H282" s="2">
        <v>2.4299999999999999E-2</v>
      </c>
      <c r="I282" s="2">
        <v>1.0999999999999999E-2</v>
      </c>
    </row>
    <row r="283" spans="1:9" x14ac:dyDescent="0.25">
      <c r="A283" s="3">
        <v>64</v>
      </c>
      <c r="B283" s="2">
        <v>0.65390000000000004</v>
      </c>
      <c r="C283" s="2">
        <v>4.2799999999999998E-2</v>
      </c>
      <c r="D283" s="2">
        <v>0.1583</v>
      </c>
      <c r="E283" s="2">
        <v>3.09E-2</v>
      </c>
      <c r="F283" s="2">
        <v>0.16320000000000001</v>
      </c>
      <c r="G283" s="2">
        <v>3.8399999999999997E-2</v>
      </c>
      <c r="H283" s="2">
        <v>2.4500000000000001E-2</v>
      </c>
      <c r="I283" s="2">
        <v>1.1299999999999999E-2</v>
      </c>
    </row>
    <row r="284" spans="1:9" x14ac:dyDescent="0.25">
      <c r="A284" s="3">
        <v>65</v>
      </c>
      <c r="B284" s="2">
        <v>0.65380000000000005</v>
      </c>
      <c r="C284" s="2">
        <v>4.3700000000000003E-2</v>
      </c>
      <c r="D284" s="2">
        <v>0.15820000000000001</v>
      </c>
      <c r="E284" s="2">
        <v>3.1399999999999997E-2</v>
      </c>
      <c r="F284" s="2">
        <v>0.1633</v>
      </c>
      <c r="G284" s="2">
        <v>3.9199999999999999E-2</v>
      </c>
      <c r="H284" s="2">
        <v>2.4799999999999999E-2</v>
      </c>
      <c r="I284" s="2">
        <v>1.17E-2</v>
      </c>
    </row>
    <row r="285" spans="1:9" x14ac:dyDescent="0.25">
      <c r="A285" s="3">
        <v>66</v>
      </c>
      <c r="B285" s="2">
        <v>0.65369999999999995</v>
      </c>
      <c r="C285" s="2">
        <v>4.4600000000000001E-2</v>
      </c>
      <c r="D285" s="2">
        <v>0.158</v>
      </c>
      <c r="E285" s="2">
        <v>3.2000000000000001E-2</v>
      </c>
      <c r="F285" s="2">
        <v>0.1633</v>
      </c>
      <c r="G285" s="2">
        <v>0.04</v>
      </c>
      <c r="H285" s="2">
        <v>2.5000000000000001E-2</v>
      </c>
      <c r="I285" s="2">
        <v>1.2E-2</v>
      </c>
    </row>
    <row r="286" spans="1:9" x14ac:dyDescent="0.25">
      <c r="A286" s="3">
        <v>67</v>
      </c>
      <c r="B286" s="2">
        <v>0.65349999999999997</v>
      </c>
      <c r="C286" s="2">
        <v>4.5499999999999999E-2</v>
      </c>
      <c r="D286" s="2">
        <v>0.1578</v>
      </c>
      <c r="E286" s="2">
        <v>3.2599999999999997E-2</v>
      </c>
      <c r="F286" s="2">
        <v>0.16339999999999999</v>
      </c>
      <c r="G286" s="2">
        <v>4.0899999999999999E-2</v>
      </c>
      <c r="H286" s="2">
        <v>2.53E-2</v>
      </c>
      <c r="I286" s="2">
        <v>1.23E-2</v>
      </c>
    </row>
    <row r="287" spans="1:9" x14ac:dyDescent="0.25">
      <c r="A287" s="3">
        <v>68</v>
      </c>
      <c r="B287" s="2">
        <v>0.65329999999999999</v>
      </c>
      <c r="C287" s="2">
        <v>4.6399999999999997E-2</v>
      </c>
      <c r="D287" s="2">
        <v>0.15770000000000001</v>
      </c>
      <c r="E287" s="2">
        <v>3.32E-2</v>
      </c>
      <c r="F287" s="2">
        <v>0.16339999999999999</v>
      </c>
      <c r="G287" s="2">
        <v>4.1700000000000001E-2</v>
      </c>
      <c r="H287" s="2">
        <v>2.5600000000000001E-2</v>
      </c>
      <c r="I287" s="2">
        <v>1.26E-2</v>
      </c>
    </row>
    <row r="288" spans="1:9" x14ac:dyDescent="0.25">
      <c r="A288" s="3">
        <v>69</v>
      </c>
      <c r="B288" s="2">
        <v>0.6532</v>
      </c>
      <c r="C288" s="2">
        <v>4.7300000000000002E-2</v>
      </c>
      <c r="D288" s="2">
        <v>0.1575</v>
      </c>
      <c r="E288" s="2">
        <v>3.3700000000000001E-2</v>
      </c>
      <c r="F288" s="2">
        <v>0.16350000000000001</v>
      </c>
      <c r="G288" s="2">
        <v>4.2599999999999999E-2</v>
      </c>
      <c r="H288" s="2">
        <v>2.58E-2</v>
      </c>
      <c r="I288" s="2">
        <v>1.2999999999999999E-2</v>
      </c>
    </row>
    <row r="289" spans="1:9" x14ac:dyDescent="0.25">
      <c r="A289" s="3">
        <v>70</v>
      </c>
      <c r="B289" s="2">
        <v>0.65300000000000002</v>
      </c>
      <c r="C289" s="2">
        <v>4.82E-2</v>
      </c>
      <c r="D289" s="2">
        <v>0.15740000000000001</v>
      </c>
      <c r="E289" s="2">
        <v>3.4299999999999997E-2</v>
      </c>
      <c r="F289" s="2">
        <v>0.16350000000000001</v>
      </c>
      <c r="G289" s="2">
        <v>4.3400000000000001E-2</v>
      </c>
      <c r="H289" s="2">
        <v>2.6100000000000002E-2</v>
      </c>
      <c r="I289" s="2">
        <v>1.3299999999999999E-2</v>
      </c>
    </row>
    <row r="290" spans="1:9" x14ac:dyDescent="0.25">
      <c r="A290" s="3">
        <v>71</v>
      </c>
      <c r="B290" s="2">
        <v>0.65290000000000004</v>
      </c>
      <c r="C290" s="2">
        <v>4.9099999999999998E-2</v>
      </c>
      <c r="D290" s="2">
        <v>0.15720000000000001</v>
      </c>
      <c r="E290" s="2">
        <v>3.49E-2</v>
      </c>
      <c r="F290" s="2">
        <v>0.1636</v>
      </c>
      <c r="G290" s="2">
        <v>4.4299999999999999E-2</v>
      </c>
      <c r="H290" s="2">
        <v>2.63E-2</v>
      </c>
      <c r="I290" s="2">
        <v>1.37E-2</v>
      </c>
    </row>
    <row r="291" spans="1:9" x14ac:dyDescent="0.25">
      <c r="A291" s="3">
        <v>72</v>
      </c>
      <c r="B291" s="2">
        <v>0.65269999999999995</v>
      </c>
      <c r="C291" s="2">
        <v>0.05</v>
      </c>
      <c r="D291" s="2">
        <v>0.15709999999999999</v>
      </c>
      <c r="E291" s="2">
        <v>3.5499999999999997E-2</v>
      </c>
      <c r="F291" s="2">
        <v>0.1636</v>
      </c>
      <c r="G291" s="2">
        <v>4.5199999999999997E-2</v>
      </c>
      <c r="H291" s="2">
        <v>2.6599999999999999E-2</v>
      </c>
      <c r="I291" s="2">
        <v>1.4E-2</v>
      </c>
    </row>
    <row r="292" spans="1:9" x14ac:dyDescent="0.25">
      <c r="A292" s="3">
        <v>73</v>
      </c>
      <c r="B292" s="2">
        <v>0.65259999999999996</v>
      </c>
      <c r="C292" s="2">
        <v>5.0900000000000001E-2</v>
      </c>
      <c r="D292" s="2">
        <v>0.15690000000000001</v>
      </c>
      <c r="E292" s="2">
        <v>3.5999999999999997E-2</v>
      </c>
      <c r="F292" s="2">
        <v>0.16370000000000001</v>
      </c>
      <c r="G292" s="2">
        <v>4.5999999999999999E-2</v>
      </c>
      <c r="H292" s="2">
        <v>2.69E-2</v>
      </c>
      <c r="I292" s="2">
        <v>1.44E-2</v>
      </c>
    </row>
    <row r="293" spans="1:9" x14ac:dyDescent="0.25">
      <c r="A293" s="3">
        <v>74</v>
      </c>
      <c r="B293" s="2">
        <v>0.65239999999999998</v>
      </c>
      <c r="C293" s="2">
        <v>5.1799999999999999E-2</v>
      </c>
      <c r="D293" s="2">
        <v>0.15670000000000001</v>
      </c>
      <c r="E293" s="2">
        <v>3.6600000000000001E-2</v>
      </c>
      <c r="F293" s="2">
        <v>0.16370000000000001</v>
      </c>
      <c r="G293" s="2">
        <v>4.6899999999999997E-2</v>
      </c>
      <c r="H293" s="2">
        <v>2.7199999999999998E-2</v>
      </c>
      <c r="I293" s="2">
        <v>1.4800000000000001E-2</v>
      </c>
    </row>
    <row r="294" spans="1:9" x14ac:dyDescent="0.25">
      <c r="A294" s="3">
        <v>75</v>
      </c>
      <c r="B294" s="2">
        <v>0.6522</v>
      </c>
      <c r="C294" s="2">
        <v>5.2699999999999997E-2</v>
      </c>
      <c r="D294" s="2">
        <v>0.15659999999999999</v>
      </c>
      <c r="E294" s="2">
        <v>3.7199999999999997E-2</v>
      </c>
      <c r="F294" s="2">
        <v>0.16370000000000001</v>
      </c>
      <c r="G294" s="2">
        <v>4.7699999999999999E-2</v>
      </c>
      <c r="H294" s="2">
        <v>2.7400000000000001E-2</v>
      </c>
      <c r="I294" s="2">
        <v>1.5100000000000001E-2</v>
      </c>
    </row>
    <row r="295" spans="1:9" x14ac:dyDescent="0.25">
      <c r="A295" s="3">
        <v>76</v>
      </c>
      <c r="B295" s="2">
        <v>0.65210000000000001</v>
      </c>
      <c r="C295" s="2">
        <v>5.3600000000000002E-2</v>
      </c>
      <c r="D295" s="2">
        <v>0.15640000000000001</v>
      </c>
      <c r="E295" s="2">
        <v>3.78E-2</v>
      </c>
      <c r="F295" s="2">
        <v>0.1638</v>
      </c>
      <c r="G295" s="2">
        <v>4.8599999999999997E-2</v>
      </c>
      <c r="H295" s="2">
        <v>2.7699999999999999E-2</v>
      </c>
      <c r="I295" s="2">
        <v>1.55E-2</v>
      </c>
    </row>
    <row r="296" spans="1:9" x14ac:dyDescent="0.25">
      <c r="A296" s="3">
        <v>77</v>
      </c>
      <c r="B296" s="2">
        <v>0.65190000000000003</v>
      </c>
      <c r="C296" s="2">
        <v>5.45E-2</v>
      </c>
      <c r="D296" s="2">
        <v>0.15629999999999999</v>
      </c>
      <c r="E296" s="2">
        <v>3.8399999999999997E-2</v>
      </c>
      <c r="F296" s="2">
        <v>0.1638</v>
      </c>
      <c r="G296" s="2">
        <v>4.9500000000000002E-2</v>
      </c>
      <c r="H296" s="2">
        <v>2.8000000000000001E-2</v>
      </c>
      <c r="I296" s="2">
        <v>1.5900000000000001E-2</v>
      </c>
    </row>
    <row r="297" spans="1:9" x14ac:dyDescent="0.25">
      <c r="A297" s="3">
        <v>78</v>
      </c>
      <c r="B297" s="2">
        <v>0.65169999999999995</v>
      </c>
      <c r="C297" s="2">
        <v>5.5399999999999998E-2</v>
      </c>
      <c r="D297" s="2">
        <v>0.15609999999999999</v>
      </c>
      <c r="E297" s="2">
        <v>3.9E-2</v>
      </c>
      <c r="F297" s="2">
        <v>0.16389999999999999</v>
      </c>
      <c r="G297" s="2">
        <v>5.0299999999999997E-2</v>
      </c>
      <c r="H297" s="2">
        <v>2.8299999999999999E-2</v>
      </c>
      <c r="I297" s="2">
        <v>1.6299999999999999E-2</v>
      </c>
    </row>
    <row r="298" spans="1:9" x14ac:dyDescent="0.25">
      <c r="A298" s="3">
        <v>79</v>
      </c>
      <c r="B298" s="2">
        <v>0.65149999999999997</v>
      </c>
      <c r="C298" s="2">
        <v>5.6399999999999999E-2</v>
      </c>
      <c r="D298" s="2">
        <v>0.156</v>
      </c>
      <c r="E298" s="2">
        <v>3.9600000000000003E-2</v>
      </c>
      <c r="F298" s="2">
        <v>0.16389999999999999</v>
      </c>
      <c r="G298" s="2">
        <v>5.1200000000000002E-2</v>
      </c>
      <c r="H298" s="2">
        <v>2.86E-2</v>
      </c>
      <c r="I298" s="2">
        <v>1.67E-2</v>
      </c>
    </row>
    <row r="299" spans="1:9" x14ac:dyDescent="0.25">
      <c r="A299" s="3">
        <v>80</v>
      </c>
      <c r="B299" s="2">
        <v>0.65139999999999998</v>
      </c>
      <c r="C299" s="2">
        <v>5.7299999999999997E-2</v>
      </c>
      <c r="D299" s="2">
        <v>0.15579999999999999</v>
      </c>
      <c r="E299" s="2">
        <v>4.0099999999999997E-2</v>
      </c>
      <c r="F299" s="2">
        <v>0.16400000000000001</v>
      </c>
      <c r="G299" s="2">
        <v>5.21E-2</v>
      </c>
      <c r="H299" s="2">
        <v>2.8899999999999999E-2</v>
      </c>
      <c r="I299" s="2">
        <v>1.7100000000000001E-2</v>
      </c>
    </row>
    <row r="300" spans="1:9" x14ac:dyDescent="0.25">
      <c r="A300" s="3">
        <v>81</v>
      </c>
      <c r="B300" s="2">
        <v>0.6512</v>
      </c>
      <c r="C300" s="2">
        <v>5.8200000000000002E-2</v>
      </c>
      <c r="D300" s="2">
        <v>0.15559999999999999</v>
      </c>
      <c r="E300" s="2">
        <v>4.07E-2</v>
      </c>
      <c r="F300" s="2">
        <v>0.16400000000000001</v>
      </c>
      <c r="G300" s="2">
        <v>5.2999999999999999E-2</v>
      </c>
      <c r="H300" s="2">
        <v>2.92E-2</v>
      </c>
      <c r="I300" s="2">
        <v>1.7600000000000001E-2</v>
      </c>
    </row>
    <row r="301" spans="1:9" x14ac:dyDescent="0.25">
      <c r="A301" s="3">
        <v>82</v>
      </c>
      <c r="B301" s="2">
        <v>0.65100000000000002</v>
      </c>
      <c r="C301" s="2">
        <v>5.91E-2</v>
      </c>
      <c r="D301" s="2">
        <v>0.1555</v>
      </c>
      <c r="E301" s="2">
        <v>4.1300000000000003E-2</v>
      </c>
      <c r="F301" s="2">
        <v>0.1641</v>
      </c>
      <c r="G301" s="2">
        <v>5.3800000000000001E-2</v>
      </c>
      <c r="H301" s="2">
        <v>2.9499999999999998E-2</v>
      </c>
      <c r="I301" s="2">
        <v>1.7999999999999999E-2</v>
      </c>
    </row>
    <row r="302" spans="1:9" x14ac:dyDescent="0.25">
      <c r="A302" s="3">
        <v>83</v>
      </c>
      <c r="B302" s="2">
        <v>0.65080000000000005</v>
      </c>
      <c r="C302" s="2">
        <v>6.0100000000000001E-2</v>
      </c>
      <c r="D302" s="2">
        <v>0.15529999999999999</v>
      </c>
      <c r="E302" s="2">
        <v>4.19E-2</v>
      </c>
      <c r="F302" s="2">
        <v>0.1641</v>
      </c>
      <c r="G302" s="2">
        <v>5.4699999999999999E-2</v>
      </c>
      <c r="H302" s="2">
        <v>2.98E-2</v>
      </c>
      <c r="I302" s="2">
        <v>1.84E-2</v>
      </c>
    </row>
    <row r="303" spans="1:9" x14ac:dyDescent="0.25">
      <c r="A303" s="3">
        <v>84</v>
      </c>
      <c r="B303" s="2">
        <v>0.65059999999999996</v>
      </c>
      <c r="C303" s="2">
        <v>6.0999999999999999E-2</v>
      </c>
      <c r="D303" s="2">
        <v>0.1552</v>
      </c>
      <c r="E303" s="2">
        <v>4.2500000000000003E-2</v>
      </c>
      <c r="F303" s="2">
        <v>0.1641</v>
      </c>
      <c r="G303" s="2">
        <v>5.5599999999999997E-2</v>
      </c>
      <c r="H303" s="2">
        <v>3.0099999999999998E-2</v>
      </c>
      <c r="I303" s="2">
        <v>1.89E-2</v>
      </c>
    </row>
    <row r="304" spans="1:9" x14ac:dyDescent="0.25">
      <c r="A304" s="3">
        <v>85</v>
      </c>
      <c r="B304" s="2">
        <v>0.65049999999999997</v>
      </c>
      <c r="C304" s="2">
        <v>6.1899999999999997E-2</v>
      </c>
      <c r="D304" s="2">
        <v>0.155</v>
      </c>
      <c r="E304" s="2">
        <v>4.3099999999999999E-2</v>
      </c>
      <c r="F304" s="2">
        <v>0.16420000000000001</v>
      </c>
      <c r="G304" s="2">
        <v>5.6500000000000002E-2</v>
      </c>
      <c r="H304" s="2">
        <v>3.04E-2</v>
      </c>
      <c r="I304" s="2">
        <v>1.9300000000000001E-2</v>
      </c>
    </row>
    <row r="305" spans="1:9" x14ac:dyDescent="0.25">
      <c r="A305" s="3">
        <v>86</v>
      </c>
      <c r="B305" s="2">
        <v>0.65029999999999999</v>
      </c>
      <c r="C305" s="2">
        <v>6.2899999999999998E-2</v>
      </c>
      <c r="D305" s="2">
        <v>0.15479999999999999</v>
      </c>
      <c r="E305" s="2">
        <v>4.3700000000000003E-2</v>
      </c>
      <c r="F305" s="2">
        <v>0.16420000000000001</v>
      </c>
      <c r="G305" s="2">
        <v>5.7299999999999997E-2</v>
      </c>
      <c r="H305" s="2">
        <v>3.0700000000000002E-2</v>
      </c>
      <c r="I305" s="2">
        <v>1.9800000000000002E-2</v>
      </c>
    </row>
    <row r="306" spans="1:9" x14ac:dyDescent="0.25">
      <c r="A306" s="3">
        <v>87</v>
      </c>
      <c r="B306" s="2">
        <v>0.65010000000000001</v>
      </c>
      <c r="C306" s="2">
        <v>6.3799999999999996E-2</v>
      </c>
      <c r="D306" s="2">
        <v>0.1547</v>
      </c>
      <c r="E306" s="2">
        <v>4.4299999999999999E-2</v>
      </c>
      <c r="F306" s="2">
        <v>0.1643</v>
      </c>
      <c r="G306" s="2">
        <v>5.8200000000000002E-2</v>
      </c>
      <c r="H306" s="2">
        <v>3.1E-2</v>
      </c>
      <c r="I306" s="2">
        <v>2.0299999999999999E-2</v>
      </c>
    </row>
    <row r="307" spans="1:9" x14ac:dyDescent="0.25">
      <c r="A307" s="3">
        <v>88</v>
      </c>
      <c r="B307" s="2">
        <v>0.64990000000000003</v>
      </c>
      <c r="C307" s="2">
        <v>6.4799999999999996E-2</v>
      </c>
      <c r="D307" s="2">
        <v>0.1545</v>
      </c>
      <c r="E307" s="2">
        <v>4.4900000000000002E-2</v>
      </c>
      <c r="F307" s="2">
        <v>0.1643</v>
      </c>
      <c r="G307" s="2">
        <v>5.91E-2</v>
      </c>
      <c r="H307" s="2">
        <v>3.1300000000000001E-2</v>
      </c>
      <c r="I307" s="2">
        <v>2.07E-2</v>
      </c>
    </row>
    <row r="308" spans="1:9" x14ac:dyDescent="0.25">
      <c r="A308" s="3">
        <v>89</v>
      </c>
      <c r="B308" s="2">
        <v>0.64970000000000006</v>
      </c>
      <c r="C308" s="2">
        <v>6.5699999999999995E-2</v>
      </c>
      <c r="D308" s="2">
        <v>0.15440000000000001</v>
      </c>
      <c r="E308" s="2">
        <v>4.5499999999999999E-2</v>
      </c>
      <c r="F308" s="2">
        <v>0.16439999999999999</v>
      </c>
      <c r="G308" s="2">
        <v>0.06</v>
      </c>
      <c r="H308" s="2">
        <v>3.1600000000000003E-2</v>
      </c>
      <c r="I308" s="2">
        <v>2.12E-2</v>
      </c>
    </row>
    <row r="309" spans="1:9" x14ac:dyDescent="0.25">
      <c r="A309" s="3">
        <v>90</v>
      </c>
      <c r="B309" s="2">
        <v>0.64949999999999997</v>
      </c>
      <c r="C309" s="2">
        <v>6.6699999999999995E-2</v>
      </c>
      <c r="D309" s="2">
        <v>0.1542</v>
      </c>
      <c r="E309" s="2">
        <v>4.6100000000000002E-2</v>
      </c>
      <c r="F309" s="2">
        <v>0.16439999999999999</v>
      </c>
      <c r="G309" s="2">
        <v>6.0900000000000003E-2</v>
      </c>
      <c r="H309" s="2">
        <v>3.1899999999999998E-2</v>
      </c>
      <c r="I309" s="2">
        <v>2.1700000000000001E-2</v>
      </c>
    </row>
    <row r="310" spans="1:9" x14ac:dyDescent="0.25">
      <c r="A310" s="3">
        <v>92</v>
      </c>
      <c r="B310" s="2">
        <v>0.64910000000000001</v>
      </c>
      <c r="C310" s="2">
        <v>6.8500000000000005E-2</v>
      </c>
      <c r="D310" s="2">
        <v>0.15390000000000001</v>
      </c>
      <c r="E310" s="2">
        <v>4.7199999999999999E-2</v>
      </c>
      <c r="F310" s="2">
        <v>0.16450000000000001</v>
      </c>
      <c r="G310" s="2">
        <v>6.2600000000000003E-2</v>
      </c>
      <c r="H310" s="2">
        <v>3.2599999999999997E-2</v>
      </c>
      <c r="I310" s="2">
        <v>2.2700000000000001E-2</v>
      </c>
    </row>
    <row r="311" spans="1:9" x14ac:dyDescent="0.25">
      <c r="A311" s="3">
        <v>93</v>
      </c>
      <c r="B311" s="2">
        <v>0.64890000000000003</v>
      </c>
      <c r="C311" s="2">
        <v>6.9500000000000006E-2</v>
      </c>
      <c r="D311" s="2">
        <v>0.1537</v>
      </c>
      <c r="E311" s="2">
        <v>4.7800000000000002E-2</v>
      </c>
      <c r="F311" s="2">
        <v>0.16450000000000001</v>
      </c>
      <c r="G311" s="2">
        <v>6.3500000000000001E-2</v>
      </c>
      <c r="H311" s="2">
        <v>3.2899999999999999E-2</v>
      </c>
      <c r="I311" s="2">
        <v>2.3199999999999998E-2</v>
      </c>
    </row>
    <row r="312" spans="1:9" x14ac:dyDescent="0.25">
      <c r="A312" s="3">
        <v>95</v>
      </c>
      <c r="B312" s="2">
        <v>0.64849999999999997</v>
      </c>
      <c r="C312" s="2">
        <v>7.1400000000000005E-2</v>
      </c>
      <c r="D312" s="2">
        <v>0.15340000000000001</v>
      </c>
      <c r="E312" s="2">
        <v>4.9000000000000002E-2</v>
      </c>
      <c r="F312" s="2">
        <v>0.1646</v>
      </c>
      <c r="G312" s="2">
        <v>6.5299999999999997E-2</v>
      </c>
      <c r="H312" s="2">
        <v>3.3599999999999998E-2</v>
      </c>
      <c r="I312" s="2">
        <v>2.4299999999999999E-2</v>
      </c>
    </row>
    <row r="313" spans="1:9" x14ac:dyDescent="0.25">
      <c r="A313" s="3">
        <v>97</v>
      </c>
      <c r="B313" s="2">
        <v>0.64800000000000002</v>
      </c>
      <c r="C313" s="2">
        <v>7.3300000000000004E-2</v>
      </c>
      <c r="D313" s="2">
        <v>0.153</v>
      </c>
      <c r="E313" s="2">
        <v>5.0200000000000002E-2</v>
      </c>
      <c r="F313" s="2">
        <v>0.1646</v>
      </c>
      <c r="G313" s="2">
        <v>6.7100000000000007E-2</v>
      </c>
      <c r="H313" s="2">
        <v>3.4299999999999997E-2</v>
      </c>
      <c r="I313" s="2">
        <v>2.5399999999999999E-2</v>
      </c>
    </row>
    <row r="314" spans="1:9" x14ac:dyDescent="0.25">
      <c r="A314" s="3">
        <v>99</v>
      </c>
      <c r="B314" s="2">
        <v>0.64759999999999995</v>
      </c>
      <c r="C314" s="2">
        <v>7.5300000000000006E-2</v>
      </c>
      <c r="D314" s="2">
        <v>0.1527</v>
      </c>
      <c r="E314" s="2">
        <v>5.1400000000000001E-2</v>
      </c>
      <c r="F314" s="2">
        <v>0.16470000000000001</v>
      </c>
      <c r="G314" s="2">
        <v>6.8900000000000003E-2</v>
      </c>
      <c r="H314" s="2">
        <v>3.5000000000000003E-2</v>
      </c>
      <c r="I314" s="2">
        <v>2.6499999999999999E-2</v>
      </c>
    </row>
    <row r="315" spans="1:9" x14ac:dyDescent="0.25">
      <c r="A315" s="3">
        <v>100</v>
      </c>
      <c r="B315" s="2">
        <v>0.64739999999999998</v>
      </c>
      <c r="C315" s="2">
        <v>7.6200000000000004E-2</v>
      </c>
      <c r="D315" s="2">
        <v>0.1525</v>
      </c>
      <c r="E315" s="2">
        <v>5.1900000000000002E-2</v>
      </c>
      <c r="F315" s="2">
        <v>0.16470000000000001</v>
      </c>
      <c r="G315" s="2">
        <v>6.9699999999999998E-2</v>
      </c>
      <c r="H315" s="2">
        <v>3.5299999999999998E-2</v>
      </c>
      <c r="I315" s="2">
        <v>2.7099999999999999E-2</v>
      </c>
    </row>
    <row r="316" spans="1:9" x14ac:dyDescent="0.25">
      <c r="A316" s="3">
        <v>102</v>
      </c>
      <c r="B316" s="2">
        <v>0.64690000000000003</v>
      </c>
      <c r="C316" s="2">
        <v>7.8200000000000006E-2</v>
      </c>
      <c r="D316" s="2">
        <v>0.1522</v>
      </c>
      <c r="E316" s="2">
        <v>5.3100000000000001E-2</v>
      </c>
      <c r="F316" s="2">
        <v>0.1648</v>
      </c>
      <c r="G316" s="2">
        <v>7.1499999999999994E-2</v>
      </c>
      <c r="H316" s="2">
        <v>3.5999999999999997E-2</v>
      </c>
      <c r="I316" s="2">
        <v>2.8299999999999999E-2</v>
      </c>
    </row>
    <row r="317" spans="1:9" x14ac:dyDescent="0.25">
      <c r="A317" s="3">
        <v>103</v>
      </c>
      <c r="B317" s="2">
        <v>0.64670000000000005</v>
      </c>
      <c r="C317" s="2">
        <v>7.9100000000000004E-2</v>
      </c>
      <c r="D317" s="2">
        <v>0.152</v>
      </c>
      <c r="E317" s="2">
        <v>5.3699999999999998E-2</v>
      </c>
      <c r="F317" s="2">
        <v>0.1648</v>
      </c>
      <c r="G317" s="2">
        <v>7.2400000000000006E-2</v>
      </c>
      <c r="H317" s="2">
        <v>3.6400000000000002E-2</v>
      </c>
      <c r="I317" s="2">
        <v>2.8899999999999999E-2</v>
      </c>
    </row>
    <row r="318" spans="1:9" x14ac:dyDescent="0.25">
      <c r="A318" s="3">
        <v>104</v>
      </c>
      <c r="B318" s="2">
        <v>0.64649999999999996</v>
      </c>
      <c r="C318" s="2">
        <v>8.0100000000000005E-2</v>
      </c>
      <c r="D318" s="2">
        <v>0.15190000000000001</v>
      </c>
      <c r="E318" s="2">
        <v>5.4300000000000001E-2</v>
      </c>
      <c r="F318" s="2">
        <v>0.16489999999999999</v>
      </c>
      <c r="G318" s="2">
        <v>7.3300000000000004E-2</v>
      </c>
      <c r="H318" s="2">
        <v>3.6799999999999999E-2</v>
      </c>
      <c r="I318" s="2">
        <v>2.9499999999999998E-2</v>
      </c>
    </row>
    <row r="319" spans="1:9" x14ac:dyDescent="0.25">
      <c r="A319" s="3">
        <v>105</v>
      </c>
      <c r="B319" s="2">
        <v>0.64629999999999999</v>
      </c>
      <c r="C319" s="2">
        <v>8.1100000000000005E-2</v>
      </c>
      <c r="D319" s="2">
        <v>0.1517</v>
      </c>
      <c r="E319" s="2">
        <v>5.4899999999999997E-2</v>
      </c>
      <c r="F319" s="2">
        <v>0.16489999999999999</v>
      </c>
      <c r="G319" s="2">
        <v>7.4200000000000002E-2</v>
      </c>
      <c r="H319" s="2">
        <v>3.7100000000000001E-2</v>
      </c>
      <c r="I319" s="2">
        <v>3.0099999999999998E-2</v>
      </c>
    </row>
    <row r="320" spans="1:9" x14ac:dyDescent="0.25">
      <c r="A320" s="3">
        <v>106</v>
      </c>
      <c r="B320" s="2">
        <v>0.64600000000000002</v>
      </c>
      <c r="C320" s="2">
        <v>8.2000000000000003E-2</v>
      </c>
      <c r="D320" s="2">
        <v>0.1515</v>
      </c>
      <c r="E320" s="2">
        <v>5.5500000000000001E-2</v>
      </c>
      <c r="F320" s="2">
        <v>0.16489999999999999</v>
      </c>
      <c r="G320" s="2">
        <v>7.51E-2</v>
      </c>
      <c r="H320" s="2">
        <v>3.7499999999999999E-2</v>
      </c>
      <c r="I320" s="2">
        <v>3.0800000000000001E-2</v>
      </c>
    </row>
    <row r="321" spans="1:9" x14ac:dyDescent="0.25">
      <c r="A321" s="3">
        <v>107</v>
      </c>
      <c r="B321" s="2">
        <v>0.64580000000000004</v>
      </c>
      <c r="C321" s="2">
        <v>8.3000000000000004E-2</v>
      </c>
      <c r="D321" s="2">
        <v>0.15140000000000001</v>
      </c>
      <c r="E321" s="2">
        <v>5.6000000000000001E-2</v>
      </c>
      <c r="F321" s="2">
        <v>0.16500000000000001</v>
      </c>
      <c r="G321" s="2">
        <v>7.5999999999999998E-2</v>
      </c>
      <c r="H321" s="2">
        <v>3.7900000000000003E-2</v>
      </c>
      <c r="I321" s="2">
        <v>3.1399999999999997E-2</v>
      </c>
    </row>
    <row r="322" spans="1:9" x14ac:dyDescent="0.25">
      <c r="A322" s="3">
        <v>109</v>
      </c>
      <c r="B322" s="2">
        <v>0.64529999999999998</v>
      </c>
      <c r="C322" s="2">
        <v>8.5000000000000006E-2</v>
      </c>
      <c r="D322" s="2">
        <v>0.151</v>
      </c>
      <c r="E322" s="2">
        <v>5.7200000000000001E-2</v>
      </c>
      <c r="F322" s="2">
        <v>0.16500000000000001</v>
      </c>
      <c r="G322" s="2">
        <v>7.7799999999999994E-2</v>
      </c>
      <c r="H322" s="2">
        <v>3.8699999999999998E-2</v>
      </c>
      <c r="I322" s="2">
        <v>3.27E-2</v>
      </c>
    </row>
    <row r="323" spans="1:9" x14ac:dyDescent="0.25">
      <c r="A323" s="3">
        <v>110</v>
      </c>
      <c r="B323" s="2">
        <v>0.64510000000000001</v>
      </c>
      <c r="C323" s="2">
        <v>8.5999999999999993E-2</v>
      </c>
      <c r="D323" s="2">
        <v>0.15090000000000001</v>
      </c>
      <c r="E323" s="2">
        <v>5.7799999999999997E-2</v>
      </c>
      <c r="F323" s="2">
        <v>0.16500000000000001</v>
      </c>
      <c r="G323" s="2">
        <v>7.8700000000000006E-2</v>
      </c>
      <c r="H323" s="2">
        <v>3.9100000000000003E-2</v>
      </c>
      <c r="I323" s="2">
        <v>3.3399999999999999E-2</v>
      </c>
    </row>
    <row r="324" spans="1:9" x14ac:dyDescent="0.25">
      <c r="A324" s="3">
        <v>111</v>
      </c>
      <c r="B324" s="2">
        <v>0.64480000000000004</v>
      </c>
      <c r="C324" s="2">
        <v>8.6900000000000005E-2</v>
      </c>
      <c r="D324" s="2">
        <v>0.1507</v>
      </c>
      <c r="E324" s="2">
        <v>5.8400000000000001E-2</v>
      </c>
      <c r="F324" s="2">
        <v>0.1651</v>
      </c>
      <c r="G324" s="2">
        <v>7.9600000000000004E-2</v>
      </c>
      <c r="H324" s="2">
        <v>3.9399999999999998E-2</v>
      </c>
      <c r="I324" s="2">
        <v>3.4099999999999998E-2</v>
      </c>
    </row>
    <row r="325" spans="1:9" x14ac:dyDescent="0.25">
      <c r="A325" s="3">
        <v>112</v>
      </c>
      <c r="B325" s="2">
        <v>0.64459999999999995</v>
      </c>
      <c r="C325" s="2">
        <v>8.7900000000000006E-2</v>
      </c>
      <c r="D325" s="2">
        <v>0.15049999999999999</v>
      </c>
      <c r="E325" s="2">
        <v>5.8999999999999997E-2</v>
      </c>
      <c r="F325" s="2">
        <v>0.1651</v>
      </c>
      <c r="G325" s="2">
        <v>8.0500000000000002E-2</v>
      </c>
      <c r="H325" s="2">
        <v>3.9800000000000002E-2</v>
      </c>
      <c r="I325" s="2">
        <v>3.4799999999999998E-2</v>
      </c>
    </row>
    <row r="326" spans="1:9" x14ac:dyDescent="0.25">
      <c r="A326" s="3">
        <v>115</v>
      </c>
      <c r="B326" s="2">
        <v>0.64380000000000004</v>
      </c>
      <c r="C326" s="2">
        <v>9.0899999999999995E-2</v>
      </c>
      <c r="D326" s="2">
        <v>0.15</v>
      </c>
      <c r="E326" s="2">
        <v>6.0699999999999997E-2</v>
      </c>
      <c r="F326" s="2">
        <v>0.16520000000000001</v>
      </c>
      <c r="G326" s="2">
        <v>8.3099999999999993E-2</v>
      </c>
      <c r="H326" s="2">
        <v>4.1099999999999998E-2</v>
      </c>
      <c r="I326" s="2">
        <v>3.6900000000000002E-2</v>
      </c>
    </row>
    <row r="327" spans="1:9" x14ac:dyDescent="0.25">
      <c r="A327" s="3">
        <v>116</v>
      </c>
      <c r="B327" s="2">
        <v>0.64349999999999996</v>
      </c>
      <c r="C327" s="2">
        <v>9.1899999999999996E-2</v>
      </c>
      <c r="D327" s="2">
        <v>0.14979999999999999</v>
      </c>
      <c r="E327" s="2">
        <v>6.13E-2</v>
      </c>
      <c r="F327" s="2">
        <v>0.16520000000000001</v>
      </c>
      <c r="G327" s="2">
        <v>8.4000000000000005E-2</v>
      </c>
      <c r="H327" s="2">
        <v>4.1500000000000002E-2</v>
      </c>
      <c r="I327" s="2">
        <v>3.7699999999999997E-2</v>
      </c>
    </row>
    <row r="328" spans="1:9" x14ac:dyDescent="0.25">
      <c r="A328" s="3">
        <v>117</v>
      </c>
      <c r="B328" s="2">
        <v>0.64329999999999998</v>
      </c>
      <c r="C328" s="2">
        <v>9.2899999999999996E-2</v>
      </c>
      <c r="D328" s="2">
        <v>0.14960000000000001</v>
      </c>
      <c r="E328" s="2">
        <v>6.1800000000000001E-2</v>
      </c>
      <c r="F328" s="2">
        <v>0.16520000000000001</v>
      </c>
      <c r="G328" s="2">
        <v>8.4900000000000003E-2</v>
      </c>
      <c r="H328" s="2">
        <v>4.19E-2</v>
      </c>
      <c r="I328" s="2">
        <v>3.8399999999999997E-2</v>
      </c>
    </row>
    <row r="329" spans="1:9" x14ac:dyDescent="0.25">
      <c r="A329" s="3">
        <v>127</v>
      </c>
      <c r="B329" s="2">
        <v>0.64049999999999996</v>
      </c>
      <c r="C329" s="2">
        <v>0.10299999999999999</v>
      </c>
      <c r="D329" s="2">
        <v>0.1479</v>
      </c>
      <c r="E329" s="2">
        <v>6.7500000000000004E-2</v>
      </c>
      <c r="F329" s="2">
        <v>0.16539999999999999</v>
      </c>
      <c r="G329" s="2">
        <v>9.3899999999999997E-2</v>
      </c>
      <c r="H329" s="2">
        <v>4.6300000000000001E-2</v>
      </c>
      <c r="I329" s="2">
        <v>4.65E-2</v>
      </c>
    </row>
    <row r="330" spans="1:9" x14ac:dyDescent="0.25">
      <c r="A330" s="3">
        <v>128</v>
      </c>
      <c r="B330" s="2">
        <v>0.64019999999999999</v>
      </c>
      <c r="C330" s="2">
        <v>0.104</v>
      </c>
      <c r="D330" s="2">
        <v>0.1477</v>
      </c>
      <c r="E330" s="2">
        <v>6.8099999999999994E-2</v>
      </c>
      <c r="F330" s="2">
        <v>0.16539999999999999</v>
      </c>
      <c r="G330" s="2">
        <v>9.4799999999999995E-2</v>
      </c>
      <c r="H330" s="2">
        <v>4.6699999999999998E-2</v>
      </c>
      <c r="I330" s="2">
        <v>4.7399999999999998E-2</v>
      </c>
    </row>
    <row r="331" spans="1:9" x14ac:dyDescent="0.25">
      <c r="A331" s="3">
        <v>129</v>
      </c>
      <c r="B331" s="2">
        <v>0.63990000000000002</v>
      </c>
      <c r="C331" s="2">
        <v>0.105</v>
      </c>
      <c r="D331" s="2">
        <v>0.14749999999999999</v>
      </c>
      <c r="E331" s="2">
        <v>6.8699999999999997E-2</v>
      </c>
      <c r="F331" s="2">
        <v>0.16539999999999999</v>
      </c>
      <c r="G331" s="2">
        <v>9.5699999999999993E-2</v>
      </c>
      <c r="H331" s="2">
        <v>4.7199999999999999E-2</v>
      </c>
      <c r="I331" s="2">
        <v>4.82E-2</v>
      </c>
    </row>
    <row r="332" spans="1:9" x14ac:dyDescent="0.25">
      <c r="A332" s="3">
        <v>131</v>
      </c>
      <c r="B332" s="2">
        <v>0.63929999999999998</v>
      </c>
      <c r="C332" s="2">
        <v>0.1071</v>
      </c>
      <c r="D332" s="2">
        <v>0.1472</v>
      </c>
      <c r="E332" s="2">
        <v>6.9800000000000001E-2</v>
      </c>
      <c r="F332" s="2">
        <v>0.16539999999999999</v>
      </c>
      <c r="G332" s="2">
        <v>9.7500000000000003E-2</v>
      </c>
      <c r="H332" s="2">
        <v>4.8099999999999997E-2</v>
      </c>
      <c r="I332" s="2">
        <v>0.05</v>
      </c>
    </row>
    <row r="333" spans="1:9" x14ac:dyDescent="0.25">
      <c r="A333" s="3">
        <v>133</v>
      </c>
      <c r="B333" s="2">
        <v>0.63859999999999995</v>
      </c>
      <c r="C333" s="2">
        <v>0.10920000000000001</v>
      </c>
      <c r="D333" s="2">
        <v>0.14680000000000001</v>
      </c>
      <c r="E333" s="2">
        <v>7.0900000000000005E-2</v>
      </c>
      <c r="F333" s="2">
        <v>0.16539999999999999</v>
      </c>
      <c r="G333" s="2">
        <v>9.9299999999999999E-2</v>
      </c>
      <c r="H333" s="2">
        <v>4.9099999999999998E-2</v>
      </c>
      <c r="I333" s="2">
        <v>5.1900000000000002E-2</v>
      </c>
    </row>
    <row r="334" spans="1:9" x14ac:dyDescent="0.25">
      <c r="A334" s="3">
        <v>135</v>
      </c>
      <c r="B334" s="2">
        <v>0.63800000000000001</v>
      </c>
      <c r="C334" s="2">
        <v>0.11119999999999999</v>
      </c>
      <c r="D334" s="2">
        <v>0.1464</v>
      </c>
      <c r="E334" s="2">
        <v>7.1999999999999995E-2</v>
      </c>
      <c r="F334" s="2">
        <v>0.16550000000000001</v>
      </c>
      <c r="G334" s="2">
        <v>0.1011</v>
      </c>
      <c r="H334" s="2">
        <v>5.0099999999999999E-2</v>
      </c>
      <c r="I334" s="2">
        <v>5.3800000000000001E-2</v>
      </c>
    </row>
    <row r="335" spans="1:9" x14ac:dyDescent="0.25">
      <c r="A335" s="3">
        <v>150</v>
      </c>
      <c r="B335" s="2">
        <v>0.63280000000000003</v>
      </c>
      <c r="C335" s="2">
        <v>0.12720000000000001</v>
      </c>
      <c r="D335" s="2">
        <v>0.14360000000000001</v>
      </c>
      <c r="E335" s="2">
        <v>8.0199999999999994E-2</v>
      </c>
      <c r="F335" s="2">
        <v>0.16550000000000001</v>
      </c>
      <c r="G335" s="2">
        <v>0.1145</v>
      </c>
      <c r="H335" s="2">
        <v>5.8099999999999999E-2</v>
      </c>
      <c r="I335" s="2">
        <v>6.9900000000000004E-2</v>
      </c>
    </row>
    <row r="336" spans="1:9" x14ac:dyDescent="0.25">
      <c r="A336" s="3">
        <v>152</v>
      </c>
      <c r="B336" s="2">
        <v>0.6321</v>
      </c>
      <c r="C336" s="2">
        <v>0.12939999999999999</v>
      </c>
      <c r="D336" s="2">
        <v>0.14319999999999999</v>
      </c>
      <c r="E336" s="2">
        <v>8.1299999999999997E-2</v>
      </c>
      <c r="F336" s="2">
        <v>0.16539999999999999</v>
      </c>
      <c r="G336" s="2">
        <v>0.1163</v>
      </c>
      <c r="H336" s="2">
        <v>5.9200000000000003E-2</v>
      </c>
      <c r="I336" s="2">
        <v>7.22E-2</v>
      </c>
    </row>
    <row r="337" spans="1:9" x14ac:dyDescent="0.25">
      <c r="A337" s="3">
        <v>174</v>
      </c>
      <c r="B337" s="2">
        <v>0.62280000000000002</v>
      </c>
      <c r="C337" s="2">
        <v>0.15459999999999999</v>
      </c>
      <c r="D337" s="2">
        <v>0.13880000000000001</v>
      </c>
      <c r="E337" s="2">
        <v>9.2600000000000002E-2</v>
      </c>
      <c r="F337" s="2">
        <v>0.16500000000000001</v>
      </c>
      <c r="G337" s="2">
        <v>0.1358</v>
      </c>
      <c r="H337" s="2">
        <v>7.3400000000000007E-2</v>
      </c>
      <c r="I337" s="2">
        <v>0.1028</v>
      </c>
    </row>
    <row r="338" spans="1:9" x14ac:dyDescent="0.25">
      <c r="A338" s="3">
        <v>180</v>
      </c>
      <c r="B338" s="2">
        <v>0.62</v>
      </c>
      <c r="C338" s="2">
        <v>0.16200000000000001</v>
      </c>
      <c r="D338" s="2">
        <v>0.1376</v>
      </c>
      <c r="E338" s="2">
        <v>9.5600000000000004E-2</v>
      </c>
      <c r="F338" s="2">
        <v>0.16470000000000001</v>
      </c>
      <c r="G338" s="2">
        <v>0.1411</v>
      </c>
      <c r="H338" s="2">
        <v>7.7700000000000005E-2</v>
      </c>
      <c r="I338" s="2">
        <v>0.11269999999999999</v>
      </c>
    </row>
    <row r="339" spans="1:9" x14ac:dyDescent="0.25">
      <c r="A339" s="3">
        <v>181</v>
      </c>
      <c r="B339" s="2">
        <v>0.61950000000000005</v>
      </c>
      <c r="C339" s="2">
        <v>0.16320000000000001</v>
      </c>
      <c r="D339" s="2">
        <v>0.13739999999999999</v>
      </c>
      <c r="E339" s="2">
        <v>9.6100000000000005E-2</v>
      </c>
      <c r="F339" s="2">
        <v>0.16470000000000001</v>
      </c>
      <c r="G339" s="2">
        <v>0.14199999999999999</v>
      </c>
      <c r="H339" s="2">
        <v>7.85E-2</v>
      </c>
      <c r="I339" s="2">
        <v>0.1144</v>
      </c>
    </row>
    <row r="340" spans="1:9" x14ac:dyDescent="0.25">
      <c r="A340" s="3">
        <v>187</v>
      </c>
      <c r="B340" s="2">
        <v>0.61639999999999995</v>
      </c>
      <c r="C340" s="2">
        <v>0.17080000000000001</v>
      </c>
      <c r="D340" s="2">
        <v>0.1361</v>
      </c>
      <c r="E340" s="2">
        <v>9.9000000000000005E-2</v>
      </c>
      <c r="F340" s="2">
        <v>0.16439999999999999</v>
      </c>
      <c r="G340" s="2">
        <v>0.14729999999999999</v>
      </c>
      <c r="H340" s="2">
        <v>8.3099999999999993E-2</v>
      </c>
      <c r="I340" s="2">
        <v>0.125</v>
      </c>
    </row>
    <row r="341" spans="1:9" x14ac:dyDescent="0.25">
      <c r="A341" s="38"/>
      <c r="B341" s="39"/>
      <c r="C341" s="39"/>
      <c r="D341" s="39"/>
      <c r="E341" s="39"/>
      <c r="F341" s="39"/>
      <c r="G341" s="39"/>
      <c r="H341" s="39"/>
      <c r="I341" s="40"/>
    </row>
    <row r="342" spans="1:9" x14ac:dyDescent="0.25">
      <c r="A342" s="2"/>
      <c r="B342" s="35" t="s">
        <v>116</v>
      </c>
      <c r="C342" s="36"/>
      <c r="D342" s="36"/>
      <c r="E342" s="36"/>
      <c r="F342" s="36"/>
      <c r="G342" s="36"/>
      <c r="H342" s="36"/>
      <c r="I342" s="37"/>
    </row>
    <row r="343" spans="1:9" x14ac:dyDescent="0.25">
      <c r="A343" s="3" t="s">
        <v>110</v>
      </c>
      <c r="B343" s="3" t="s">
        <v>88</v>
      </c>
      <c r="C343" s="3" t="s">
        <v>105</v>
      </c>
      <c r="D343" s="3" t="s">
        <v>90</v>
      </c>
      <c r="E343" s="3" t="s">
        <v>105</v>
      </c>
      <c r="F343" s="3" t="s">
        <v>91</v>
      </c>
      <c r="G343" s="3" t="s">
        <v>105</v>
      </c>
      <c r="H343" s="3" t="s">
        <v>92</v>
      </c>
      <c r="I343" s="3" t="s">
        <v>105</v>
      </c>
    </row>
    <row r="344" spans="1:9" x14ac:dyDescent="0.25">
      <c r="A344" s="3">
        <v>1</v>
      </c>
      <c r="B344" s="2">
        <v>0.95299999999999996</v>
      </c>
      <c r="C344" s="2" t="s">
        <v>11</v>
      </c>
      <c r="D344" s="2">
        <v>3.6999999999999998E-2</v>
      </c>
      <c r="E344" s="2" t="s">
        <v>11</v>
      </c>
      <c r="F344" s="2">
        <v>9.4999999999999998E-3</v>
      </c>
      <c r="G344" s="2" t="s">
        <v>11</v>
      </c>
      <c r="H344" s="2">
        <v>5.0000000000000001E-4</v>
      </c>
      <c r="I344" s="2" t="s">
        <v>11</v>
      </c>
    </row>
    <row r="345" spans="1:9" x14ac:dyDescent="0.25">
      <c r="A345" s="3">
        <v>2</v>
      </c>
      <c r="B345" s="2">
        <v>0.1484</v>
      </c>
      <c r="C345" s="2" t="s">
        <v>11</v>
      </c>
      <c r="D345" s="2">
        <v>0.80130000000000001</v>
      </c>
      <c r="E345" s="2" t="s">
        <v>11</v>
      </c>
      <c r="F345" s="2">
        <v>5.0099999999999999E-2</v>
      </c>
      <c r="G345" s="2" t="s">
        <v>11</v>
      </c>
      <c r="H345" s="2">
        <v>2.0000000000000001E-4</v>
      </c>
      <c r="I345" s="2" t="s">
        <v>11</v>
      </c>
    </row>
    <row r="346" spans="1:9" x14ac:dyDescent="0.25">
      <c r="A346" s="3">
        <v>3</v>
      </c>
      <c r="B346" s="2">
        <v>3.8800000000000001E-2</v>
      </c>
      <c r="C346" s="2" t="s">
        <v>11</v>
      </c>
      <c r="D346" s="2">
        <v>5.1200000000000002E-2</v>
      </c>
      <c r="E346" s="2" t="s">
        <v>11</v>
      </c>
      <c r="F346" s="2">
        <v>0.90700000000000003</v>
      </c>
      <c r="G346" s="2" t="s">
        <v>11</v>
      </c>
      <c r="H346" s="2">
        <v>3.0000000000000001E-3</v>
      </c>
      <c r="I346" s="2" t="s">
        <v>11</v>
      </c>
    </row>
    <row r="347" spans="1:9" x14ac:dyDescent="0.25">
      <c r="A347" s="3">
        <v>4</v>
      </c>
      <c r="B347" s="2">
        <v>1.9400000000000001E-2</v>
      </c>
      <c r="C347" s="2" t="s">
        <v>11</v>
      </c>
      <c r="D347" s="2">
        <v>1.9E-3</v>
      </c>
      <c r="E347" s="2" t="s">
        <v>11</v>
      </c>
      <c r="F347" s="2">
        <v>2.93E-2</v>
      </c>
      <c r="G347" s="2" t="s">
        <v>11</v>
      </c>
      <c r="H347" s="2">
        <v>0.94940000000000002</v>
      </c>
      <c r="I347" s="2" t="s">
        <v>11</v>
      </c>
    </row>
  </sheetData>
  <mergeCells count="5">
    <mergeCell ref="A3:F3"/>
    <mergeCell ref="B69:F69"/>
    <mergeCell ref="B218:I218"/>
    <mergeCell ref="A341:I341"/>
    <mergeCell ref="B342:I342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304"/>
  <sheetViews>
    <sheetView topLeftCell="A273" workbookViewId="0">
      <selection activeCell="N202" sqref="N202"/>
    </sheetView>
  </sheetViews>
  <sheetFormatPr defaultColWidth="36.28515625" defaultRowHeight="15" x14ac:dyDescent="0.25"/>
  <cols>
    <col min="1" max="1" width="34.1406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7.5703125" bestFit="1" customWidth="1"/>
    <col min="15" max="15" width="6.5703125" bestFit="1" customWidth="1"/>
  </cols>
  <sheetData>
    <row r="1" spans="1:6" ht="37.5" x14ac:dyDescent="0.25">
      <c r="A1" s="1" t="s">
        <v>208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13388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15.0639</v>
      </c>
      <c r="C7" s="2"/>
      <c r="D7" s="2"/>
      <c r="E7" s="2"/>
      <c r="F7" s="2"/>
    </row>
    <row r="8" spans="1:6" x14ac:dyDescent="0.25">
      <c r="A8" s="3" t="s">
        <v>4</v>
      </c>
      <c r="B8" s="2">
        <v>15.0639</v>
      </c>
      <c r="C8" s="2"/>
      <c r="D8" s="2"/>
      <c r="E8" s="2"/>
      <c r="F8" s="2"/>
    </row>
    <row r="9" spans="1:6" x14ac:dyDescent="0.25">
      <c r="A9" s="3" t="s">
        <v>5</v>
      </c>
      <c r="B9" s="2">
        <v>1680</v>
      </c>
      <c r="C9" s="2"/>
      <c r="D9" s="2"/>
      <c r="E9" s="2"/>
      <c r="F9" s="2"/>
    </row>
    <row r="10" spans="1:6" x14ac:dyDescent="0.25">
      <c r="A10" s="3" t="s">
        <v>6</v>
      </c>
      <c r="B10" s="2">
        <v>1680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150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513.00480000000005</v>
      </c>
      <c r="C14" s="4">
        <v>3.2000000000000001E-41</v>
      </c>
      <c r="D14" s="2"/>
      <c r="E14" s="2"/>
      <c r="F14" s="2"/>
    </row>
    <row r="15" spans="1:6" x14ac:dyDescent="0.25">
      <c r="A15" s="3" t="s">
        <v>12</v>
      </c>
      <c r="B15" s="2">
        <v>529.49549999999999</v>
      </c>
      <c r="C15" s="4">
        <v>8.6000000000000003E-44</v>
      </c>
      <c r="D15" s="2"/>
      <c r="E15" s="2"/>
      <c r="F15" s="2"/>
    </row>
    <row r="16" spans="1:6" x14ac:dyDescent="0.25">
      <c r="A16" s="3" t="s">
        <v>13</v>
      </c>
      <c r="B16" s="2">
        <v>497.3261</v>
      </c>
      <c r="C16" s="4">
        <v>8.1999999999999996E-39</v>
      </c>
      <c r="D16" s="2"/>
      <c r="E16" s="2"/>
      <c r="F16" s="2"/>
    </row>
    <row r="17" spans="1:6" x14ac:dyDescent="0.25">
      <c r="A17" s="3" t="s">
        <v>14</v>
      </c>
      <c r="B17" s="2">
        <v>-912.31230000000005</v>
      </c>
      <c r="C17" s="2"/>
      <c r="D17" s="2"/>
      <c r="E17" s="2"/>
      <c r="F17" s="2"/>
    </row>
    <row r="18" spans="1:6" x14ac:dyDescent="0.25">
      <c r="A18" s="3" t="s">
        <v>15</v>
      </c>
      <c r="B18" s="2">
        <v>213.00479999999999</v>
      </c>
      <c r="C18" s="2"/>
      <c r="D18" s="2"/>
      <c r="E18" s="2"/>
      <c r="F18" s="2"/>
    </row>
    <row r="19" spans="1:6" x14ac:dyDescent="0.25">
      <c r="A19" s="3" t="s">
        <v>16</v>
      </c>
      <c r="B19" s="2">
        <v>63.004800000000003</v>
      </c>
      <c r="C19" s="2"/>
      <c r="D19" s="2"/>
      <c r="E19" s="2"/>
      <c r="F19" s="2"/>
    </row>
    <row r="20" spans="1:6" x14ac:dyDescent="0.25">
      <c r="A20" s="3" t="s">
        <v>17</v>
      </c>
      <c r="B20" s="2">
        <v>-1062.3123000000001</v>
      </c>
      <c r="C20" s="2"/>
      <c r="D20" s="2"/>
      <c r="E20" s="2"/>
      <c r="F20" s="2"/>
    </row>
    <row r="21" spans="1:6" x14ac:dyDescent="0.25">
      <c r="A21" s="3" t="s">
        <v>18</v>
      </c>
      <c r="B21" s="2">
        <v>-435.6266</v>
      </c>
      <c r="C21" s="2"/>
      <c r="D21" s="2"/>
      <c r="E21" s="2"/>
      <c r="F21" s="2"/>
    </row>
    <row r="22" spans="1:6" x14ac:dyDescent="0.25">
      <c r="A22" s="3" t="s">
        <v>19</v>
      </c>
      <c r="B22" s="2">
        <v>1.8100000000000002E-2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-12442.6862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-12442.6862</v>
      </c>
      <c r="C27" s="2"/>
      <c r="D27" s="2"/>
      <c r="E27" s="2"/>
      <c r="F27" s="2"/>
    </row>
    <row r="28" spans="1:6" x14ac:dyDescent="0.25">
      <c r="A28" s="3" t="s">
        <v>24</v>
      </c>
      <c r="B28" s="2">
        <v>24942.384999999998</v>
      </c>
      <c r="C28" s="2"/>
      <c r="D28" s="2"/>
      <c r="E28" s="2"/>
      <c r="F28" s="2"/>
    </row>
    <row r="29" spans="1:6" x14ac:dyDescent="0.25">
      <c r="A29" s="3" t="s">
        <v>25</v>
      </c>
      <c r="B29" s="2">
        <v>24897.372299999999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24903.372299999999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24948.384999999998</v>
      </c>
      <c r="C31" s="2"/>
      <c r="D31" s="2"/>
      <c r="E31" s="2"/>
      <c r="F31" s="2"/>
    </row>
    <row r="32" spans="1:6" x14ac:dyDescent="0.25">
      <c r="A32" s="3" t="s">
        <v>28</v>
      </c>
      <c r="B32" s="2">
        <v>24923.317599999998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0.34279999999999999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7.1000000000000004E-3</v>
      </c>
      <c r="C38" s="2"/>
      <c r="D38" s="2"/>
      <c r="E38" s="2"/>
      <c r="F38" s="2"/>
    </row>
    <row r="39" spans="1:6" x14ac:dyDescent="0.25">
      <c r="A39" s="3" t="s">
        <v>33</v>
      </c>
      <c r="B39" s="2">
        <v>6.4999999999999997E-3</v>
      </c>
      <c r="C39" s="2"/>
      <c r="D39" s="2"/>
      <c r="E39" s="2"/>
      <c r="F39" s="2"/>
    </row>
    <row r="40" spans="1:6" x14ac:dyDescent="0.25">
      <c r="A40" s="3" t="s">
        <v>34</v>
      </c>
      <c r="B40" s="2">
        <v>-24872.855</v>
      </c>
      <c r="C40" s="2"/>
      <c r="D40" s="2"/>
      <c r="E40" s="2"/>
      <c r="F40" s="2"/>
    </row>
    <row r="41" spans="1:6" x14ac:dyDescent="0.25">
      <c r="A41" s="3" t="s">
        <v>35</v>
      </c>
      <c r="B41" s="2">
        <v>12430.168900000001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49745.710099999997</v>
      </c>
      <c r="C42" s="2"/>
      <c r="D42" s="2"/>
      <c r="E42" s="2"/>
      <c r="F42" s="2"/>
    </row>
    <row r="43" spans="1:6" x14ac:dyDescent="0.25">
      <c r="A43" s="3" t="s">
        <v>37</v>
      </c>
      <c r="B43" s="2">
        <v>49877.735500000003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49802.722800000003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8798.4367999999995</v>
      </c>
      <c r="C48" s="2">
        <v>0</v>
      </c>
      <c r="D48" s="2">
        <v>0</v>
      </c>
      <c r="E48" s="2">
        <v>0</v>
      </c>
      <c r="F48" s="2">
        <v>8798.4367999999995</v>
      </c>
    </row>
    <row r="49" spans="1:6" x14ac:dyDescent="0.25">
      <c r="A49" s="3" t="s">
        <v>43</v>
      </c>
      <c r="B49" s="2">
        <v>2223.7197999999999</v>
      </c>
      <c r="C49" s="2">
        <v>0</v>
      </c>
      <c r="D49" s="2">
        <v>0</v>
      </c>
      <c r="E49" s="2">
        <v>0</v>
      </c>
      <c r="F49" s="2">
        <v>2223.7197999999999</v>
      </c>
    </row>
    <row r="50" spans="1:6" x14ac:dyDescent="0.25">
      <c r="A50" s="3" t="s">
        <v>44</v>
      </c>
      <c r="B50" s="2">
        <v>2145.5344</v>
      </c>
      <c r="C50" s="2">
        <v>0</v>
      </c>
      <c r="D50" s="2">
        <v>0</v>
      </c>
      <c r="E50" s="2">
        <v>0</v>
      </c>
      <c r="F50" s="2">
        <v>2145.5344</v>
      </c>
    </row>
    <row r="51" spans="1:6" x14ac:dyDescent="0.25">
      <c r="A51" s="3" t="s">
        <v>45</v>
      </c>
      <c r="B51" s="2">
        <v>220.309</v>
      </c>
      <c r="C51" s="2">
        <v>0</v>
      </c>
      <c r="D51" s="2">
        <v>0</v>
      </c>
      <c r="E51" s="2">
        <v>0</v>
      </c>
      <c r="F51" s="2">
        <v>220.309</v>
      </c>
    </row>
    <row r="52" spans="1:6" x14ac:dyDescent="0.25">
      <c r="A52" s="3" t="s">
        <v>46</v>
      </c>
      <c r="B52" s="2">
        <v>13388</v>
      </c>
      <c r="C52" s="2">
        <v>0</v>
      </c>
      <c r="D52" s="2">
        <v>0</v>
      </c>
      <c r="E52" s="2">
        <v>0</v>
      </c>
      <c r="F52" s="2">
        <v>13388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5811.5397000000003</v>
      </c>
      <c r="C56" s="2">
        <v>1458.8768</v>
      </c>
      <c r="D56" s="2">
        <v>1389.7139999999999</v>
      </c>
      <c r="E56" s="2">
        <v>138.30629999999999</v>
      </c>
      <c r="F56" s="2">
        <v>8798.4367999999995</v>
      </c>
    </row>
    <row r="57" spans="1:6" x14ac:dyDescent="0.25">
      <c r="A57" s="3" t="s">
        <v>43</v>
      </c>
      <c r="B57" s="2">
        <v>1458.8768</v>
      </c>
      <c r="C57" s="2">
        <v>369.58100000000002</v>
      </c>
      <c r="D57" s="2">
        <v>358.11869999999999</v>
      </c>
      <c r="E57" s="2">
        <v>37.1432</v>
      </c>
      <c r="F57" s="2">
        <v>2223.7197999999999</v>
      </c>
    </row>
    <row r="58" spans="1:6" x14ac:dyDescent="0.25">
      <c r="A58" s="3" t="s">
        <v>44</v>
      </c>
      <c r="B58" s="2">
        <v>1389.7139999999999</v>
      </c>
      <c r="C58" s="2">
        <v>358.11869999999999</v>
      </c>
      <c r="D58" s="2">
        <v>357.90719999999999</v>
      </c>
      <c r="E58" s="2">
        <v>39.794400000000003</v>
      </c>
      <c r="F58" s="2">
        <v>2145.5344</v>
      </c>
    </row>
    <row r="59" spans="1:6" x14ac:dyDescent="0.25">
      <c r="A59" s="3" t="s">
        <v>45</v>
      </c>
      <c r="B59" s="2">
        <v>138.30629999999999</v>
      </c>
      <c r="C59" s="2">
        <v>37.1432</v>
      </c>
      <c r="D59" s="2">
        <v>39.794400000000003</v>
      </c>
      <c r="E59" s="2">
        <v>5.0650000000000004</v>
      </c>
      <c r="F59" s="2">
        <v>220.309</v>
      </c>
    </row>
    <row r="60" spans="1:6" x14ac:dyDescent="0.25">
      <c r="A60" s="3" t="s">
        <v>46</v>
      </c>
      <c r="B60" s="2">
        <v>8798.4367999999995</v>
      </c>
      <c r="C60" s="2">
        <v>2223.7197999999999</v>
      </c>
      <c r="D60" s="2">
        <v>2145.5344</v>
      </c>
      <c r="E60" s="2">
        <v>220.309</v>
      </c>
      <c r="F60" s="2">
        <v>13388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0.34279999999999999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7.1000000000000004E-3</v>
      </c>
      <c r="C65" s="2"/>
      <c r="D65" s="2"/>
      <c r="E65" s="2"/>
      <c r="F65" s="2"/>
    </row>
    <row r="66" spans="1:6" x14ac:dyDescent="0.25">
      <c r="A66" s="3" t="s">
        <v>33</v>
      </c>
      <c r="B66" s="2">
        <v>6.4999999999999997E-3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1680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13388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209</v>
      </c>
      <c r="B140" s="2" t="s">
        <v>127</v>
      </c>
      <c r="C140" s="2">
        <v>52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1</v>
      </c>
      <c r="B142" s="2">
        <v>1</v>
      </c>
      <c r="C142" s="2">
        <v>1</v>
      </c>
      <c r="D142" s="2"/>
      <c r="E142" s="2"/>
      <c r="F142" s="2"/>
    </row>
    <row r="143" spans="1:6" x14ac:dyDescent="0.25">
      <c r="A143" s="3">
        <v>2</v>
      </c>
      <c r="B143" s="2">
        <v>2</v>
      </c>
      <c r="C143" s="2">
        <v>2</v>
      </c>
      <c r="D143" s="2"/>
      <c r="E143" s="2"/>
      <c r="F143" s="2"/>
    </row>
    <row r="144" spans="1:6" x14ac:dyDescent="0.25">
      <c r="A144" s="3">
        <v>4</v>
      </c>
      <c r="B144" s="2">
        <v>4</v>
      </c>
      <c r="C144" s="2">
        <v>4</v>
      </c>
      <c r="D144" s="2"/>
      <c r="E144" s="2"/>
      <c r="F144" s="2"/>
    </row>
    <row r="145" spans="1:6" x14ac:dyDescent="0.25">
      <c r="A145" s="3">
        <v>5</v>
      </c>
      <c r="B145" s="2">
        <v>5</v>
      </c>
      <c r="C145" s="2">
        <v>5</v>
      </c>
      <c r="D145" s="2"/>
      <c r="E145" s="2"/>
      <c r="F145" s="2"/>
    </row>
    <row r="146" spans="1:6" x14ac:dyDescent="0.25">
      <c r="A146" s="3">
        <v>7</v>
      </c>
      <c r="B146" s="2">
        <v>7</v>
      </c>
      <c r="C146" s="2">
        <v>7</v>
      </c>
      <c r="D146" s="2"/>
      <c r="E146" s="2"/>
      <c r="F146" s="2"/>
    </row>
    <row r="147" spans="1:6" x14ac:dyDescent="0.25">
      <c r="A147" s="3">
        <v>8</v>
      </c>
      <c r="B147" s="2">
        <v>8</v>
      </c>
      <c r="C147" s="2">
        <v>8</v>
      </c>
      <c r="D147" s="2"/>
      <c r="E147" s="2"/>
      <c r="F147" s="2"/>
    </row>
    <row r="148" spans="1:6" x14ac:dyDescent="0.25">
      <c r="A148" s="3">
        <v>10</v>
      </c>
      <c r="B148" s="2">
        <v>10</v>
      </c>
      <c r="C148" s="2">
        <v>10</v>
      </c>
      <c r="D148" s="2"/>
      <c r="E148" s="2"/>
      <c r="F148" s="2"/>
    </row>
    <row r="149" spans="1:6" x14ac:dyDescent="0.25">
      <c r="A149" s="3">
        <v>11</v>
      </c>
      <c r="B149" s="2">
        <v>11</v>
      </c>
      <c r="C149" s="2">
        <v>11</v>
      </c>
      <c r="D149" s="2"/>
      <c r="E149" s="2"/>
      <c r="F149" s="2"/>
    </row>
    <row r="150" spans="1:6" x14ac:dyDescent="0.25">
      <c r="A150" s="3">
        <v>12</v>
      </c>
      <c r="B150" s="2">
        <v>12</v>
      </c>
      <c r="C150" s="2">
        <v>12</v>
      </c>
      <c r="D150" s="2"/>
      <c r="E150" s="2"/>
      <c r="F150" s="2"/>
    </row>
    <row r="151" spans="1:6" x14ac:dyDescent="0.25">
      <c r="A151" s="3">
        <v>14</v>
      </c>
      <c r="B151" s="2">
        <v>14</v>
      </c>
      <c r="C151" s="2">
        <v>14</v>
      </c>
      <c r="D151" s="2"/>
      <c r="E151" s="2"/>
      <c r="F151" s="2"/>
    </row>
    <row r="152" spans="1:6" x14ac:dyDescent="0.25">
      <c r="A152" s="3">
        <v>15</v>
      </c>
      <c r="B152" s="2">
        <v>15</v>
      </c>
      <c r="C152" s="2">
        <v>15</v>
      </c>
      <c r="D152" s="2"/>
      <c r="E152" s="2"/>
      <c r="F152" s="2"/>
    </row>
    <row r="153" spans="1:6" x14ac:dyDescent="0.25">
      <c r="A153" s="3">
        <v>16</v>
      </c>
      <c r="B153" s="2">
        <v>16</v>
      </c>
      <c r="C153" s="2">
        <v>16</v>
      </c>
      <c r="D153" s="2"/>
      <c r="E153" s="2"/>
      <c r="F153" s="2"/>
    </row>
    <row r="154" spans="1:6" x14ac:dyDescent="0.25">
      <c r="A154" s="3">
        <v>17</v>
      </c>
      <c r="B154" s="2">
        <v>17</v>
      </c>
      <c r="C154" s="2">
        <v>17</v>
      </c>
      <c r="D154" s="2"/>
      <c r="E154" s="2"/>
      <c r="F154" s="2"/>
    </row>
    <row r="155" spans="1:6" x14ac:dyDescent="0.25">
      <c r="A155" s="3">
        <v>18</v>
      </c>
      <c r="B155" s="2">
        <v>18</v>
      </c>
      <c r="C155" s="2">
        <v>18</v>
      </c>
      <c r="D155" s="2"/>
      <c r="E155" s="2"/>
      <c r="F155" s="2"/>
    </row>
    <row r="156" spans="1:6" x14ac:dyDescent="0.25">
      <c r="A156" s="3">
        <v>20</v>
      </c>
      <c r="B156" s="2">
        <v>20</v>
      </c>
      <c r="C156" s="2">
        <v>20</v>
      </c>
      <c r="D156" s="2"/>
      <c r="E156" s="2"/>
      <c r="F156" s="2"/>
    </row>
    <row r="157" spans="1:6" x14ac:dyDescent="0.25">
      <c r="A157" s="3">
        <v>24</v>
      </c>
      <c r="B157" s="2">
        <v>24</v>
      </c>
      <c r="C157" s="2">
        <v>24</v>
      </c>
      <c r="D157" s="2"/>
      <c r="E157" s="2"/>
      <c r="F157" s="2"/>
    </row>
    <row r="158" spans="1:6" x14ac:dyDescent="0.25">
      <c r="A158" s="3">
        <v>25</v>
      </c>
      <c r="B158" s="2">
        <v>25</v>
      </c>
      <c r="C158" s="2">
        <v>25</v>
      </c>
      <c r="D158" s="2"/>
      <c r="E158" s="2"/>
      <c r="F158" s="2"/>
    </row>
    <row r="159" spans="1:6" x14ac:dyDescent="0.25">
      <c r="A159" s="3">
        <v>27</v>
      </c>
      <c r="B159" s="2">
        <v>27</v>
      </c>
      <c r="C159" s="2">
        <v>27</v>
      </c>
      <c r="D159" s="2"/>
      <c r="E159" s="2"/>
      <c r="F159" s="2"/>
    </row>
    <row r="160" spans="1:6" x14ac:dyDescent="0.25">
      <c r="A160" s="3">
        <v>28</v>
      </c>
      <c r="B160" s="2">
        <v>28</v>
      </c>
      <c r="C160" s="2">
        <v>28</v>
      </c>
      <c r="D160" s="2"/>
      <c r="E160" s="2"/>
      <c r="F160" s="2"/>
    </row>
    <row r="161" spans="1:6" x14ac:dyDescent="0.25">
      <c r="A161" s="3">
        <v>30</v>
      </c>
      <c r="B161" s="2">
        <v>30</v>
      </c>
      <c r="C161" s="2">
        <v>30</v>
      </c>
      <c r="D161" s="2"/>
      <c r="E161" s="2"/>
      <c r="F161" s="2"/>
    </row>
    <row r="162" spans="1:6" x14ac:dyDescent="0.25">
      <c r="A162" s="3">
        <v>33</v>
      </c>
      <c r="B162" s="2">
        <v>33</v>
      </c>
      <c r="C162" s="2">
        <v>33</v>
      </c>
      <c r="D162" s="2"/>
      <c r="E162" s="2"/>
      <c r="F162" s="2"/>
    </row>
    <row r="163" spans="1:6" x14ac:dyDescent="0.25">
      <c r="A163" s="3">
        <v>34</v>
      </c>
      <c r="B163" s="2">
        <v>34</v>
      </c>
      <c r="C163" s="2">
        <v>34</v>
      </c>
      <c r="D163" s="2"/>
      <c r="E163" s="2"/>
      <c r="F163" s="2"/>
    </row>
    <row r="164" spans="1:6" x14ac:dyDescent="0.25">
      <c r="A164" s="3">
        <v>37</v>
      </c>
      <c r="B164" s="2">
        <v>37</v>
      </c>
      <c r="C164" s="2">
        <v>37</v>
      </c>
      <c r="D164" s="2"/>
      <c r="E164" s="2"/>
      <c r="F164" s="2"/>
    </row>
    <row r="165" spans="1:6" x14ac:dyDescent="0.25">
      <c r="A165" s="3">
        <v>39</v>
      </c>
      <c r="B165" s="2">
        <v>39</v>
      </c>
      <c r="C165" s="2">
        <v>39</v>
      </c>
      <c r="D165" s="2"/>
      <c r="E165" s="2"/>
      <c r="F165" s="2"/>
    </row>
    <row r="166" spans="1:6" x14ac:dyDescent="0.25">
      <c r="A166" s="3">
        <v>40</v>
      </c>
      <c r="B166" s="2">
        <v>40</v>
      </c>
      <c r="C166" s="2">
        <v>40</v>
      </c>
      <c r="D166" s="2"/>
      <c r="E166" s="2"/>
      <c r="F166" s="2"/>
    </row>
    <row r="167" spans="1:6" x14ac:dyDescent="0.25">
      <c r="A167" s="3">
        <v>46</v>
      </c>
      <c r="B167" s="2">
        <v>46</v>
      </c>
      <c r="C167" s="2">
        <v>46</v>
      </c>
      <c r="D167" s="2"/>
      <c r="E167" s="2"/>
      <c r="F167" s="2"/>
    </row>
    <row r="168" spans="1:6" x14ac:dyDescent="0.25">
      <c r="A168" s="3">
        <v>48</v>
      </c>
      <c r="B168" s="2">
        <v>48</v>
      </c>
      <c r="C168" s="2">
        <v>48</v>
      </c>
      <c r="D168" s="2"/>
      <c r="E168" s="2"/>
      <c r="F168" s="2"/>
    </row>
    <row r="169" spans="1:6" x14ac:dyDescent="0.25">
      <c r="A169" s="3">
        <v>49</v>
      </c>
      <c r="B169" s="2">
        <v>49</v>
      </c>
      <c r="C169" s="2">
        <v>49</v>
      </c>
      <c r="D169" s="2"/>
      <c r="E169" s="2"/>
      <c r="F169" s="2"/>
    </row>
    <row r="170" spans="1:6" x14ac:dyDescent="0.25">
      <c r="A170" s="3">
        <v>50</v>
      </c>
      <c r="B170" s="2">
        <v>50</v>
      </c>
      <c r="C170" s="2">
        <v>50</v>
      </c>
      <c r="D170" s="2"/>
      <c r="E170" s="2"/>
      <c r="F170" s="2"/>
    </row>
    <row r="171" spans="1:6" x14ac:dyDescent="0.25">
      <c r="A171" s="3">
        <v>51</v>
      </c>
      <c r="B171" s="2">
        <v>51</v>
      </c>
      <c r="C171" s="2">
        <v>51</v>
      </c>
      <c r="D171" s="2"/>
      <c r="E171" s="2"/>
      <c r="F171" s="2"/>
    </row>
    <row r="172" spans="1:6" x14ac:dyDescent="0.25">
      <c r="A172" s="3">
        <v>57</v>
      </c>
      <c r="B172" s="2">
        <v>57</v>
      </c>
      <c r="C172" s="2">
        <v>57</v>
      </c>
      <c r="D172" s="2"/>
      <c r="E172" s="2"/>
      <c r="F172" s="2"/>
    </row>
    <row r="173" spans="1:6" x14ac:dyDescent="0.25">
      <c r="A173" s="3">
        <v>58</v>
      </c>
      <c r="B173" s="2">
        <v>58</v>
      </c>
      <c r="C173" s="2">
        <v>58</v>
      </c>
      <c r="D173" s="2"/>
      <c r="E173" s="2"/>
      <c r="F173" s="2"/>
    </row>
    <row r="174" spans="1:6" x14ac:dyDescent="0.25">
      <c r="A174" s="3">
        <v>60</v>
      </c>
      <c r="B174" s="2">
        <v>60</v>
      </c>
      <c r="C174" s="2">
        <v>60</v>
      </c>
      <c r="D174" s="2"/>
      <c r="E174" s="2"/>
      <c r="F174" s="2"/>
    </row>
    <row r="175" spans="1:6" x14ac:dyDescent="0.25">
      <c r="A175" s="3">
        <v>65</v>
      </c>
      <c r="B175" s="2">
        <v>65</v>
      </c>
      <c r="C175" s="2">
        <v>65</v>
      </c>
      <c r="D175" s="2"/>
      <c r="E175" s="2"/>
      <c r="F175" s="2"/>
    </row>
    <row r="176" spans="1:6" x14ac:dyDescent="0.25">
      <c r="A176" s="3">
        <v>66</v>
      </c>
      <c r="B176" s="2">
        <v>66</v>
      </c>
      <c r="C176" s="2">
        <v>66</v>
      </c>
      <c r="D176" s="2"/>
      <c r="E176" s="2"/>
      <c r="F176" s="2"/>
    </row>
    <row r="177" spans="1:6" x14ac:dyDescent="0.25">
      <c r="A177" s="3">
        <v>67</v>
      </c>
      <c r="B177" s="2">
        <v>67</v>
      </c>
      <c r="C177" s="2">
        <v>67</v>
      </c>
      <c r="D177" s="2"/>
      <c r="E177" s="2"/>
      <c r="F177" s="2"/>
    </row>
    <row r="178" spans="1:6" x14ac:dyDescent="0.25">
      <c r="A178" s="3">
        <v>68</v>
      </c>
      <c r="B178" s="2">
        <v>68</v>
      </c>
      <c r="C178" s="2">
        <v>68</v>
      </c>
      <c r="D178" s="2"/>
      <c r="E178" s="2"/>
      <c r="F178" s="2"/>
    </row>
    <row r="179" spans="1:6" x14ac:dyDescent="0.25">
      <c r="A179" s="3">
        <v>70</v>
      </c>
      <c r="B179" s="2">
        <v>70</v>
      </c>
      <c r="C179" s="2">
        <v>70</v>
      </c>
      <c r="D179" s="2"/>
      <c r="E179" s="2"/>
      <c r="F179" s="2"/>
    </row>
    <row r="180" spans="1:6" x14ac:dyDescent="0.25">
      <c r="A180" s="3">
        <v>71</v>
      </c>
      <c r="B180" s="2">
        <v>71</v>
      </c>
      <c r="C180" s="2">
        <v>71</v>
      </c>
      <c r="D180" s="2"/>
      <c r="E180" s="2"/>
      <c r="F180" s="2"/>
    </row>
    <row r="181" spans="1:6" x14ac:dyDescent="0.25">
      <c r="A181" s="3">
        <v>73</v>
      </c>
      <c r="B181" s="2">
        <v>73</v>
      </c>
      <c r="C181" s="2">
        <v>73</v>
      </c>
      <c r="D181" s="2"/>
      <c r="E181" s="2"/>
      <c r="F181" s="2"/>
    </row>
    <row r="182" spans="1:6" x14ac:dyDescent="0.25">
      <c r="A182" s="3">
        <v>75</v>
      </c>
      <c r="B182" s="2">
        <v>75</v>
      </c>
      <c r="C182" s="2">
        <v>75</v>
      </c>
      <c r="D182" s="2"/>
      <c r="E182" s="2"/>
      <c r="F182" s="2"/>
    </row>
    <row r="183" spans="1:6" x14ac:dyDescent="0.25">
      <c r="A183" s="3">
        <v>80</v>
      </c>
      <c r="B183" s="2">
        <v>80</v>
      </c>
      <c r="C183" s="2">
        <v>80</v>
      </c>
      <c r="D183" s="2"/>
      <c r="E183" s="2"/>
      <c r="F183" s="2"/>
    </row>
    <row r="184" spans="1:6" x14ac:dyDescent="0.25">
      <c r="A184" s="3">
        <v>82</v>
      </c>
      <c r="B184" s="2">
        <v>82</v>
      </c>
      <c r="C184" s="2">
        <v>82</v>
      </c>
      <c r="D184" s="2"/>
      <c r="E184" s="2"/>
      <c r="F184" s="2"/>
    </row>
    <row r="185" spans="1:6" x14ac:dyDescent="0.25">
      <c r="A185" s="3">
        <v>85</v>
      </c>
      <c r="B185" s="2">
        <v>85</v>
      </c>
      <c r="C185" s="2">
        <v>85</v>
      </c>
      <c r="D185" s="2"/>
      <c r="E185" s="2"/>
      <c r="F185" s="2"/>
    </row>
    <row r="186" spans="1:6" x14ac:dyDescent="0.25">
      <c r="A186" s="3">
        <v>90</v>
      </c>
      <c r="B186" s="2">
        <v>90</v>
      </c>
      <c r="C186" s="2">
        <v>90</v>
      </c>
      <c r="D186" s="2"/>
      <c r="E186" s="2"/>
      <c r="F186" s="2"/>
    </row>
    <row r="187" spans="1:6" x14ac:dyDescent="0.25">
      <c r="A187" s="3">
        <v>94</v>
      </c>
      <c r="B187" s="2">
        <v>94</v>
      </c>
      <c r="C187" s="2">
        <v>94</v>
      </c>
      <c r="D187" s="2"/>
      <c r="E187" s="2"/>
      <c r="F187" s="2"/>
    </row>
    <row r="188" spans="1:6" x14ac:dyDescent="0.25">
      <c r="A188" s="3">
        <v>95</v>
      </c>
      <c r="B188" s="2">
        <v>95</v>
      </c>
      <c r="C188" s="2">
        <v>95</v>
      </c>
      <c r="D188" s="2"/>
      <c r="E188" s="2"/>
      <c r="F188" s="2"/>
    </row>
    <row r="189" spans="1:6" x14ac:dyDescent="0.25">
      <c r="A189" s="3">
        <v>97</v>
      </c>
      <c r="B189" s="2">
        <v>97</v>
      </c>
      <c r="C189" s="2">
        <v>97</v>
      </c>
      <c r="D189" s="2"/>
      <c r="E189" s="2"/>
      <c r="F189" s="2"/>
    </row>
    <row r="190" spans="1:6" x14ac:dyDescent="0.25">
      <c r="A190" s="3">
        <v>98</v>
      </c>
      <c r="B190" s="2">
        <v>98</v>
      </c>
      <c r="C190" s="2">
        <v>98</v>
      </c>
      <c r="D190" s="2"/>
      <c r="E190" s="2"/>
      <c r="F190" s="2"/>
    </row>
    <row r="191" spans="1:6" x14ac:dyDescent="0.25">
      <c r="A191" s="3">
        <v>99</v>
      </c>
      <c r="B191" s="2">
        <v>99</v>
      </c>
      <c r="C191" s="2">
        <v>99</v>
      </c>
      <c r="D191" s="2"/>
      <c r="E191" s="2"/>
      <c r="F191" s="2"/>
    </row>
    <row r="192" spans="1:6" x14ac:dyDescent="0.25">
      <c r="A192" s="3">
        <v>100</v>
      </c>
      <c r="B192" s="2">
        <v>100</v>
      </c>
      <c r="C192" s="2">
        <v>100</v>
      </c>
      <c r="D192" s="2"/>
      <c r="E192" s="2"/>
      <c r="F192" s="2"/>
    </row>
    <row r="194" spans="1:16" ht="18.75" x14ac:dyDescent="0.25">
      <c r="A194" s="1" t="s">
        <v>102</v>
      </c>
    </row>
    <row r="196" spans="1:16" x14ac:dyDescent="0.25">
      <c r="A196" s="3" t="s">
        <v>103</v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28.5" x14ac:dyDescent="0.25">
      <c r="A197" s="3" t="s">
        <v>104</v>
      </c>
      <c r="B197" s="3" t="s">
        <v>42</v>
      </c>
      <c r="C197" s="3" t="s">
        <v>105</v>
      </c>
      <c r="D197" s="3" t="s">
        <v>123</v>
      </c>
      <c r="E197" s="3" t="s">
        <v>43</v>
      </c>
      <c r="F197" s="3" t="s">
        <v>105</v>
      </c>
      <c r="G197" s="3" t="s">
        <v>123</v>
      </c>
      <c r="H197" s="3" t="s">
        <v>44</v>
      </c>
      <c r="I197" s="3" t="s">
        <v>105</v>
      </c>
      <c r="J197" s="3" t="s">
        <v>123</v>
      </c>
      <c r="K197" s="3" t="s">
        <v>45</v>
      </c>
      <c r="L197" s="3" t="s">
        <v>105</v>
      </c>
      <c r="M197" s="3" t="s">
        <v>123</v>
      </c>
      <c r="N197" s="3" t="s">
        <v>106</v>
      </c>
      <c r="O197" s="3" t="s">
        <v>9</v>
      </c>
      <c r="P197" s="2"/>
    </row>
    <row r="198" spans="1:16" x14ac:dyDescent="0.25">
      <c r="A198" s="3"/>
      <c r="B198" s="2">
        <v>0.84340000000000004</v>
      </c>
      <c r="C198" s="2">
        <v>0.27389999999999998</v>
      </c>
      <c r="D198" s="2">
        <v>3.0790999999999999</v>
      </c>
      <c r="E198" s="2">
        <v>-8.2500000000000004E-2</v>
      </c>
      <c r="F198" s="2">
        <v>0.38400000000000001</v>
      </c>
      <c r="G198" s="2">
        <v>-0.2147</v>
      </c>
      <c r="H198" s="2">
        <v>0.40849999999999997</v>
      </c>
      <c r="I198" s="2">
        <v>0.3024</v>
      </c>
      <c r="J198" s="2">
        <v>1.3508</v>
      </c>
      <c r="K198" s="2">
        <v>-1.1694</v>
      </c>
      <c r="L198" s="2">
        <v>0.54359999999999997</v>
      </c>
      <c r="M198" s="2">
        <v>-2.1511999999999998</v>
      </c>
      <c r="N198" s="2">
        <v>9.8160000000000007</v>
      </c>
      <c r="O198" s="2">
        <v>0.02</v>
      </c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28.5" x14ac:dyDescent="0.25">
      <c r="A200" s="3" t="s">
        <v>107</v>
      </c>
      <c r="B200" s="3" t="s">
        <v>42</v>
      </c>
      <c r="C200" s="3" t="s">
        <v>105</v>
      </c>
      <c r="D200" s="3" t="s">
        <v>123</v>
      </c>
      <c r="E200" s="3" t="s">
        <v>43</v>
      </c>
      <c r="F200" s="3" t="s">
        <v>105</v>
      </c>
      <c r="G200" s="3" t="s">
        <v>123</v>
      </c>
      <c r="H200" s="3" t="s">
        <v>44</v>
      </c>
      <c r="I200" s="3" t="s">
        <v>105</v>
      </c>
      <c r="J200" s="3" t="s">
        <v>123</v>
      </c>
      <c r="K200" s="3" t="s">
        <v>45</v>
      </c>
      <c r="L200" s="3" t="s">
        <v>105</v>
      </c>
      <c r="M200" s="3" t="s">
        <v>123</v>
      </c>
      <c r="N200" s="3" t="s">
        <v>106</v>
      </c>
      <c r="O200" s="3" t="s">
        <v>9</v>
      </c>
      <c r="P200" s="2"/>
    </row>
    <row r="201" spans="1:16" x14ac:dyDescent="0.25">
      <c r="A201" s="3" t="s">
        <v>209</v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>
        <v>8.5000000000000006E-3</v>
      </c>
      <c r="C202" s="2">
        <v>2.8999999999999998E-3</v>
      </c>
      <c r="D202" s="2">
        <v>2.9156</v>
      </c>
      <c r="E202" s="2">
        <v>3.7000000000000002E-3</v>
      </c>
      <c r="F202" s="2">
        <v>4.0000000000000001E-3</v>
      </c>
      <c r="G202" s="2">
        <v>0.92830000000000001</v>
      </c>
      <c r="H202" s="2">
        <v>-2E-3</v>
      </c>
      <c r="I202" s="2">
        <v>3.3E-3</v>
      </c>
      <c r="J202" s="2">
        <v>-0.61309999999999998</v>
      </c>
      <c r="K202" s="2">
        <v>-1.0200000000000001E-2</v>
      </c>
      <c r="L202" s="2">
        <v>6.0000000000000001E-3</v>
      </c>
      <c r="M202" s="2">
        <v>-1.6987000000000001</v>
      </c>
      <c r="N202" s="2">
        <v>11.9086</v>
      </c>
      <c r="O202" s="2">
        <v>7.7000000000000002E-3</v>
      </c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5" spans="1:16" ht="18.75" x14ac:dyDescent="0.25">
      <c r="A205" s="1" t="s">
        <v>108</v>
      </c>
    </row>
    <row r="207" spans="1:16" x14ac:dyDescent="0.25">
      <c r="A207" s="3" t="s">
        <v>103</v>
      </c>
      <c r="B207" s="3"/>
      <c r="C207" s="3"/>
      <c r="D207" s="3" t="s">
        <v>106</v>
      </c>
      <c r="E207" s="3" t="s">
        <v>109</v>
      </c>
      <c r="F207" s="3" t="s">
        <v>9</v>
      </c>
    </row>
    <row r="208" spans="1:16" x14ac:dyDescent="0.25">
      <c r="A208" s="3" t="s">
        <v>104</v>
      </c>
      <c r="B208" s="2"/>
      <c r="C208" s="2"/>
      <c r="D208" s="2"/>
      <c r="E208" s="2"/>
      <c r="F208" s="2"/>
    </row>
    <row r="209" spans="1:6" x14ac:dyDescent="0.25">
      <c r="A209" s="3" t="s">
        <v>110</v>
      </c>
      <c r="B209" s="3">
        <v>1</v>
      </c>
      <c r="C209" s="3">
        <v>2</v>
      </c>
      <c r="D209" s="2">
        <v>3.4134000000000002</v>
      </c>
      <c r="E209" s="2">
        <v>1</v>
      </c>
      <c r="F209" s="2">
        <v>6.5000000000000002E-2</v>
      </c>
    </row>
    <row r="210" spans="1:6" x14ac:dyDescent="0.25">
      <c r="A210" s="3" t="s">
        <v>110</v>
      </c>
      <c r="B210" s="3">
        <v>1</v>
      </c>
      <c r="C210" s="3">
        <v>3</v>
      </c>
      <c r="D210" s="2">
        <v>1.573</v>
      </c>
      <c r="E210" s="2">
        <v>1</v>
      </c>
      <c r="F210" s="2">
        <v>0.21</v>
      </c>
    </row>
    <row r="211" spans="1:6" x14ac:dyDescent="0.25">
      <c r="A211" s="3" t="s">
        <v>110</v>
      </c>
      <c r="B211" s="3">
        <v>1</v>
      </c>
      <c r="C211" s="3">
        <v>4</v>
      </c>
      <c r="D211" s="2">
        <v>7.5270000000000001</v>
      </c>
      <c r="E211" s="2">
        <v>1</v>
      </c>
      <c r="F211" s="2">
        <v>6.1000000000000004E-3</v>
      </c>
    </row>
    <row r="212" spans="1:6" x14ac:dyDescent="0.25">
      <c r="A212" s="3" t="s">
        <v>110</v>
      </c>
      <c r="B212" s="3">
        <v>2</v>
      </c>
      <c r="C212" s="3">
        <v>3</v>
      </c>
      <c r="D212" s="2">
        <v>0.87639999999999996</v>
      </c>
      <c r="E212" s="2">
        <v>1</v>
      </c>
      <c r="F212" s="2">
        <v>0.35</v>
      </c>
    </row>
    <row r="213" spans="1:6" x14ac:dyDescent="0.25">
      <c r="A213" s="3" t="s">
        <v>110</v>
      </c>
      <c r="B213" s="3">
        <v>2</v>
      </c>
      <c r="C213" s="3">
        <v>4</v>
      </c>
      <c r="D213" s="2">
        <v>1.7545999999999999</v>
      </c>
      <c r="E213" s="2">
        <v>1</v>
      </c>
      <c r="F213" s="2">
        <v>0.19</v>
      </c>
    </row>
    <row r="214" spans="1:6" x14ac:dyDescent="0.25">
      <c r="A214" s="3" t="s">
        <v>110</v>
      </c>
      <c r="B214" s="3">
        <v>3</v>
      </c>
      <c r="C214" s="3">
        <v>4</v>
      </c>
      <c r="D214" s="2">
        <v>4.2926000000000002</v>
      </c>
      <c r="E214" s="2">
        <v>1</v>
      </c>
      <c r="F214" s="2">
        <v>3.7999999999999999E-2</v>
      </c>
    </row>
    <row r="215" spans="1:6" x14ac:dyDescent="0.25">
      <c r="A215" s="3" t="s">
        <v>209</v>
      </c>
      <c r="B215" s="2"/>
      <c r="C215" s="2"/>
      <c r="D215" s="2"/>
      <c r="E215" s="2"/>
      <c r="F215" s="2"/>
    </row>
    <row r="216" spans="1:6" x14ac:dyDescent="0.25">
      <c r="A216" s="3" t="s">
        <v>110</v>
      </c>
      <c r="B216" s="3">
        <v>1</v>
      </c>
      <c r="C216" s="3">
        <v>2</v>
      </c>
      <c r="D216" s="2">
        <v>0.85309999999999997</v>
      </c>
      <c r="E216" s="2">
        <v>1</v>
      </c>
      <c r="F216" s="2">
        <v>0.36</v>
      </c>
    </row>
    <row r="217" spans="1:6" x14ac:dyDescent="0.25">
      <c r="A217" s="3" t="s">
        <v>110</v>
      </c>
      <c r="B217" s="3">
        <v>1</v>
      </c>
      <c r="C217" s="3">
        <v>3</v>
      </c>
      <c r="D217" s="2">
        <v>8.1344999999999992</v>
      </c>
      <c r="E217" s="2">
        <v>1</v>
      </c>
      <c r="F217" s="2">
        <v>4.4000000000000003E-3</v>
      </c>
    </row>
    <row r="218" spans="1:6" x14ac:dyDescent="0.25">
      <c r="A218" s="3" t="s">
        <v>110</v>
      </c>
      <c r="B218" s="3">
        <v>1</v>
      </c>
      <c r="C218" s="3">
        <v>4</v>
      </c>
      <c r="D218" s="2">
        <v>5.3414000000000001</v>
      </c>
      <c r="E218" s="2">
        <v>1</v>
      </c>
      <c r="F218" s="2">
        <v>2.1000000000000001E-2</v>
      </c>
    </row>
    <row r="219" spans="1:6" x14ac:dyDescent="0.25">
      <c r="A219" s="3" t="s">
        <v>110</v>
      </c>
      <c r="B219" s="3">
        <v>2</v>
      </c>
      <c r="C219" s="3">
        <v>3</v>
      </c>
      <c r="D219" s="2">
        <v>1.0945</v>
      </c>
      <c r="E219" s="2">
        <v>1</v>
      </c>
      <c r="F219" s="2">
        <v>0.3</v>
      </c>
    </row>
    <row r="220" spans="1:6" x14ac:dyDescent="0.25">
      <c r="A220" s="3" t="s">
        <v>110</v>
      </c>
      <c r="B220" s="3">
        <v>2</v>
      </c>
      <c r="C220" s="3">
        <v>4</v>
      </c>
      <c r="D220" s="2">
        <v>2.4403000000000001</v>
      </c>
      <c r="E220" s="2">
        <v>1</v>
      </c>
      <c r="F220" s="2">
        <v>0.12</v>
      </c>
    </row>
    <row r="221" spans="1:6" x14ac:dyDescent="0.25">
      <c r="A221" s="3" t="s">
        <v>110</v>
      </c>
      <c r="B221" s="3">
        <v>3</v>
      </c>
      <c r="C221" s="3">
        <v>4</v>
      </c>
      <c r="D221" s="2">
        <v>0.9476</v>
      </c>
      <c r="E221" s="2">
        <v>1</v>
      </c>
      <c r="F221" s="2">
        <v>0.33</v>
      </c>
    </row>
    <row r="223" spans="1:6" ht="18.75" x14ac:dyDescent="0.25">
      <c r="A223" s="1" t="s">
        <v>111</v>
      </c>
    </row>
    <row r="225" spans="1:9" ht="28.5" x14ac:dyDescent="0.25">
      <c r="A225" s="2"/>
      <c r="B225" s="3" t="s">
        <v>42</v>
      </c>
      <c r="C225" s="3" t="s">
        <v>105</v>
      </c>
      <c r="D225" s="3" t="s">
        <v>43</v>
      </c>
      <c r="E225" s="3" t="s">
        <v>105</v>
      </c>
      <c r="F225" s="3" t="s">
        <v>44</v>
      </c>
      <c r="G225" s="3" t="s">
        <v>105</v>
      </c>
      <c r="H225" s="3" t="s">
        <v>45</v>
      </c>
      <c r="I225" s="3" t="s">
        <v>105</v>
      </c>
    </row>
    <row r="226" spans="1:9" x14ac:dyDescent="0.25">
      <c r="A226" s="3" t="s">
        <v>112</v>
      </c>
      <c r="B226" s="2">
        <v>0.65720000000000001</v>
      </c>
      <c r="C226" s="2">
        <v>1.8800000000000001E-2</v>
      </c>
      <c r="D226" s="2">
        <v>0.1661</v>
      </c>
      <c r="E226" s="2">
        <v>1.61E-2</v>
      </c>
      <c r="F226" s="2">
        <v>0.1603</v>
      </c>
      <c r="G226" s="2">
        <v>1.4E-2</v>
      </c>
      <c r="H226" s="2">
        <v>1.6500000000000001E-2</v>
      </c>
      <c r="I226" s="2">
        <v>4.4000000000000003E-3</v>
      </c>
    </row>
    <row r="227" spans="1:9" x14ac:dyDescent="0.25">
      <c r="A227" s="3" t="s">
        <v>107</v>
      </c>
      <c r="B227" s="2"/>
      <c r="C227" s="2"/>
      <c r="D227" s="2"/>
      <c r="E227" s="2"/>
      <c r="F227" s="2"/>
      <c r="G227" s="2"/>
      <c r="H227" s="2"/>
      <c r="I227" s="2"/>
    </row>
    <row r="228" spans="1:9" x14ac:dyDescent="0.25">
      <c r="A228" s="3" t="s">
        <v>209</v>
      </c>
      <c r="B228" s="2"/>
      <c r="C228" s="2"/>
      <c r="D228" s="2"/>
      <c r="E228" s="2"/>
      <c r="F228" s="2"/>
      <c r="G228" s="2"/>
      <c r="H228" s="2"/>
      <c r="I228" s="2"/>
    </row>
    <row r="229" spans="1:9" x14ac:dyDescent="0.25">
      <c r="A229" s="11">
        <v>18629</v>
      </c>
      <c r="B229" s="2">
        <v>6.1100000000000002E-2</v>
      </c>
      <c r="C229" s="2" t="s">
        <v>11</v>
      </c>
      <c r="D229" s="2">
        <v>8.4599999999999995E-2</v>
      </c>
      <c r="E229" s="2" t="s">
        <v>11</v>
      </c>
      <c r="F229" s="2">
        <v>0.12740000000000001</v>
      </c>
      <c r="G229" s="2" t="s">
        <v>11</v>
      </c>
      <c r="H229" s="2">
        <v>0.2271</v>
      </c>
      <c r="I229" s="2" t="s">
        <v>11</v>
      </c>
    </row>
    <row r="230" spans="1:9" x14ac:dyDescent="0.25">
      <c r="A230" s="3" t="s">
        <v>210</v>
      </c>
      <c r="B230" s="2">
        <v>0.93889999999999996</v>
      </c>
      <c r="C230" s="2" t="s">
        <v>11</v>
      </c>
      <c r="D230" s="2">
        <v>0.91539999999999999</v>
      </c>
      <c r="E230" s="2" t="s">
        <v>11</v>
      </c>
      <c r="F230" s="2">
        <v>0.87260000000000004</v>
      </c>
      <c r="G230" s="2" t="s">
        <v>11</v>
      </c>
      <c r="H230" s="2">
        <v>0.77290000000000003</v>
      </c>
      <c r="I230" s="2" t="s">
        <v>11</v>
      </c>
    </row>
    <row r="231" spans="1:9" x14ac:dyDescent="0.25">
      <c r="A231" s="3" t="s">
        <v>131</v>
      </c>
      <c r="B231" s="2">
        <v>95.6511</v>
      </c>
      <c r="C231" s="2" t="s">
        <v>11</v>
      </c>
      <c r="D231" s="2">
        <v>93.509799999999998</v>
      </c>
      <c r="E231" s="2" t="s">
        <v>11</v>
      </c>
      <c r="F231" s="2">
        <v>89.524000000000001</v>
      </c>
      <c r="G231" s="2" t="s">
        <v>11</v>
      </c>
      <c r="H231" s="2">
        <v>79.997500000000002</v>
      </c>
      <c r="I231" s="2" t="s">
        <v>11</v>
      </c>
    </row>
    <row r="233" spans="1:9" ht="18.75" x14ac:dyDescent="0.25">
      <c r="A233" s="1" t="s">
        <v>113</v>
      </c>
    </row>
    <row r="235" spans="1:9" ht="28.5" x14ac:dyDescent="0.25">
      <c r="A235" s="2"/>
      <c r="B235" s="3" t="s">
        <v>42</v>
      </c>
      <c r="C235" s="3" t="s">
        <v>43</v>
      </c>
      <c r="D235" s="3" t="s">
        <v>44</v>
      </c>
      <c r="E235" s="3" t="s">
        <v>45</v>
      </c>
    </row>
    <row r="236" spans="1:9" x14ac:dyDescent="0.25">
      <c r="A236" s="3" t="s">
        <v>114</v>
      </c>
      <c r="B236" s="2">
        <v>0.65720000000000001</v>
      </c>
      <c r="C236" s="2">
        <v>0.1661</v>
      </c>
      <c r="D236" s="2">
        <v>0.1603</v>
      </c>
      <c r="E236" s="2">
        <v>1.6500000000000001E-2</v>
      </c>
    </row>
    <row r="237" spans="1:9" x14ac:dyDescent="0.25">
      <c r="A237" s="3" t="s">
        <v>107</v>
      </c>
      <c r="B237" s="2"/>
      <c r="C237" s="2"/>
      <c r="D237" s="2"/>
      <c r="E237" s="2"/>
    </row>
    <row r="238" spans="1:9" x14ac:dyDescent="0.25">
      <c r="A238" s="3" t="s">
        <v>209</v>
      </c>
      <c r="B238" s="2"/>
      <c r="C238" s="2"/>
      <c r="D238" s="2"/>
      <c r="E238" s="2"/>
    </row>
    <row r="239" spans="1:9" x14ac:dyDescent="0.25">
      <c r="A239" s="11">
        <v>18629</v>
      </c>
      <c r="B239" s="2">
        <v>0.51149999999999995</v>
      </c>
      <c r="C239" s="2">
        <v>0.17949999999999999</v>
      </c>
      <c r="D239" s="2">
        <v>0.26119999999999999</v>
      </c>
      <c r="E239" s="2">
        <v>4.7899999999999998E-2</v>
      </c>
    </row>
    <row r="240" spans="1:9" x14ac:dyDescent="0.25">
      <c r="A240" s="3" t="s">
        <v>210</v>
      </c>
      <c r="B240" s="2">
        <v>0.66949999999999998</v>
      </c>
      <c r="C240" s="2">
        <v>0.16500000000000001</v>
      </c>
      <c r="D240" s="2">
        <v>0.1517</v>
      </c>
      <c r="E240" s="2">
        <v>1.38E-2</v>
      </c>
    </row>
    <row r="242" spans="1:9" ht="18.75" x14ac:dyDescent="0.25">
      <c r="A242" s="1" t="s">
        <v>115</v>
      </c>
    </row>
    <row r="244" spans="1:9" x14ac:dyDescent="0.25">
      <c r="A244" s="2"/>
      <c r="B244" s="35" t="s">
        <v>110</v>
      </c>
      <c r="C244" s="36"/>
      <c r="D244" s="36"/>
      <c r="E244" s="36"/>
      <c r="F244" s="36"/>
      <c r="G244" s="36"/>
      <c r="H244" s="36"/>
      <c r="I244" s="37"/>
    </row>
    <row r="245" spans="1:9" x14ac:dyDescent="0.25">
      <c r="A245" s="3" t="s">
        <v>209</v>
      </c>
      <c r="B245" s="3">
        <v>1</v>
      </c>
      <c r="C245" s="3" t="s">
        <v>105</v>
      </c>
      <c r="D245" s="3">
        <v>2</v>
      </c>
      <c r="E245" s="3" t="s">
        <v>105</v>
      </c>
      <c r="F245" s="3">
        <v>3</v>
      </c>
      <c r="G245" s="3" t="s">
        <v>105</v>
      </c>
      <c r="H245" s="3">
        <v>4</v>
      </c>
      <c r="I245" s="3" t="s">
        <v>105</v>
      </c>
    </row>
    <row r="246" spans="1:9" x14ac:dyDescent="0.25">
      <c r="A246" s="3">
        <v>0</v>
      </c>
      <c r="B246" s="2">
        <v>0.45929999999999999</v>
      </c>
      <c r="C246" s="2">
        <v>7.8100000000000003E-2</v>
      </c>
      <c r="D246" s="2">
        <v>0.182</v>
      </c>
      <c r="E246" s="2">
        <v>7.1199999999999999E-2</v>
      </c>
      <c r="F246" s="2">
        <v>0.29730000000000001</v>
      </c>
      <c r="G246" s="2">
        <v>6.9900000000000004E-2</v>
      </c>
      <c r="H246" s="2">
        <v>6.1400000000000003E-2</v>
      </c>
      <c r="I246" s="2">
        <v>4.1500000000000002E-2</v>
      </c>
    </row>
    <row r="247" spans="1:9" x14ac:dyDescent="0.25">
      <c r="A247" s="3">
        <v>1</v>
      </c>
      <c r="B247" s="2">
        <v>0.4617</v>
      </c>
      <c r="C247" s="2">
        <v>7.7399999999999997E-2</v>
      </c>
      <c r="D247" s="2">
        <v>0.182</v>
      </c>
      <c r="E247" s="2">
        <v>7.0499999999999993E-2</v>
      </c>
      <c r="F247" s="2">
        <v>0.29570000000000002</v>
      </c>
      <c r="G247" s="2">
        <v>6.9000000000000006E-2</v>
      </c>
      <c r="H247" s="2">
        <v>6.0499999999999998E-2</v>
      </c>
      <c r="I247" s="2">
        <v>4.0500000000000001E-2</v>
      </c>
    </row>
    <row r="248" spans="1:9" x14ac:dyDescent="0.25">
      <c r="A248" s="3">
        <v>2</v>
      </c>
      <c r="B248" s="2">
        <v>0.46400000000000002</v>
      </c>
      <c r="C248" s="2">
        <v>7.6700000000000004E-2</v>
      </c>
      <c r="D248" s="2">
        <v>0.18210000000000001</v>
      </c>
      <c r="E248" s="2">
        <v>6.9800000000000001E-2</v>
      </c>
      <c r="F248" s="2">
        <v>0.29409999999999997</v>
      </c>
      <c r="G248" s="2">
        <v>6.8000000000000005E-2</v>
      </c>
      <c r="H248" s="2">
        <v>5.9700000000000003E-2</v>
      </c>
      <c r="I248" s="2">
        <v>3.9600000000000003E-2</v>
      </c>
    </row>
    <row r="249" spans="1:9" x14ac:dyDescent="0.25">
      <c r="A249" s="3">
        <v>4</v>
      </c>
      <c r="B249" s="2">
        <v>0.46870000000000001</v>
      </c>
      <c r="C249" s="2">
        <v>7.5300000000000006E-2</v>
      </c>
      <c r="D249" s="2">
        <v>0.1822</v>
      </c>
      <c r="E249" s="2">
        <v>6.8400000000000002E-2</v>
      </c>
      <c r="F249" s="2">
        <v>0.29099999999999998</v>
      </c>
      <c r="G249" s="2">
        <v>6.6199999999999995E-2</v>
      </c>
      <c r="H249" s="2">
        <v>5.8099999999999999E-2</v>
      </c>
      <c r="I249" s="2">
        <v>3.78E-2</v>
      </c>
    </row>
    <row r="250" spans="1:9" x14ac:dyDescent="0.25">
      <c r="A250" s="3">
        <v>5</v>
      </c>
      <c r="B250" s="2">
        <v>0.47110000000000002</v>
      </c>
      <c r="C250" s="2">
        <v>7.46E-2</v>
      </c>
      <c r="D250" s="2">
        <v>0.18229999999999999</v>
      </c>
      <c r="E250" s="2">
        <v>6.7699999999999996E-2</v>
      </c>
      <c r="F250" s="2">
        <v>0.28939999999999999</v>
      </c>
      <c r="G250" s="2">
        <v>6.5199999999999994E-2</v>
      </c>
      <c r="H250" s="2">
        <v>5.7299999999999997E-2</v>
      </c>
      <c r="I250" s="2">
        <v>3.6900000000000002E-2</v>
      </c>
    </row>
    <row r="251" spans="1:9" x14ac:dyDescent="0.25">
      <c r="A251" s="3">
        <v>7</v>
      </c>
      <c r="B251" s="2">
        <v>0.47570000000000001</v>
      </c>
      <c r="C251" s="2">
        <v>7.3099999999999998E-2</v>
      </c>
      <c r="D251" s="2">
        <v>0.18229999999999999</v>
      </c>
      <c r="E251" s="2">
        <v>6.6299999999999998E-2</v>
      </c>
      <c r="F251" s="2">
        <v>0.28620000000000001</v>
      </c>
      <c r="G251" s="2">
        <v>6.3399999999999998E-2</v>
      </c>
      <c r="H251" s="2">
        <v>5.5800000000000002E-2</v>
      </c>
      <c r="I251" s="2">
        <v>3.5200000000000002E-2</v>
      </c>
    </row>
    <row r="252" spans="1:9" x14ac:dyDescent="0.25">
      <c r="A252" s="3">
        <v>8</v>
      </c>
      <c r="B252" s="2">
        <v>0.47810000000000002</v>
      </c>
      <c r="C252" s="2">
        <v>7.2400000000000006E-2</v>
      </c>
      <c r="D252" s="2">
        <v>0.18240000000000001</v>
      </c>
      <c r="E252" s="2">
        <v>6.5600000000000006E-2</v>
      </c>
      <c r="F252" s="2">
        <v>0.28460000000000002</v>
      </c>
      <c r="G252" s="2">
        <v>6.25E-2</v>
      </c>
      <c r="H252" s="2">
        <v>5.5E-2</v>
      </c>
      <c r="I252" s="2">
        <v>3.44E-2</v>
      </c>
    </row>
    <row r="253" spans="1:9" x14ac:dyDescent="0.25">
      <c r="A253" s="3">
        <v>10</v>
      </c>
      <c r="B253" s="2">
        <v>0.48270000000000002</v>
      </c>
      <c r="C253" s="2">
        <v>7.0999999999999994E-2</v>
      </c>
      <c r="D253" s="2">
        <v>0.18240000000000001</v>
      </c>
      <c r="E253" s="2">
        <v>6.4199999999999993E-2</v>
      </c>
      <c r="F253" s="2">
        <v>0.28139999999999998</v>
      </c>
      <c r="G253" s="2">
        <v>6.0699999999999997E-2</v>
      </c>
      <c r="H253" s="2">
        <v>5.3499999999999999E-2</v>
      </c>
      <c r="I253" s="2">
        <v>3.2800000000000003E-2</v>
      </c>
    </row>
    <row r="254" spans="1:9" x14ac:dyDescent="0.25">
      <c r="A254" s="3">
        <v>11</v>
      </c>
      <c r="B254" s="2">
        <v>0.48509999999999998</v>
      </c>
      <c r="C254" s="2">
        <v>7.0199999999999999E-2</v>
      </c>
      <c r="D254" s="2">
        <v>0.18240000000000001</v>
      </c>
      <c r="E254" s="2">
        <v>6.3500000000000001E-2</v>
      </c>
      <c r="F254" s="2">
        <v>0.27979999999999999</v>
      </c>
      <c r="G254" s="2">
        <v>5.9799999999999999E-2</v>
      </c>
      <c r="H254" s="2">
        <v>5.28E-2</v>
      </c>
      <c r="I254" s="2">
        <v>3.2000000000000001E-2</v>
      </c>
    </row>
    <row r="255" spans="1:9" x14ac:dyDescent="0.25">
      <c r="A255" s="3">
        <v>12</v>
      </c>
      <c r="B255" s="2">
        <v>0.4874</v>
      </c>
      <c r="C255" s="2">
        <v>6.9500000000000006E-2</v>
      </c>
      <c r="D255" s="2">
        <v>0.18240000000000001</v>
      </c>
      <c r="E255" s="2">
        <v>6.2799999999999995E-2</v>
      </c>
      <c r="F255" s="2">
        <v>0.2782</v>
      </c>
      <c r="G255" s="2">
        <v>5.8900000000000001E-2</v>
      </c>
      <c r="H255" s="2">
        <v>5.1999999999999998E-2</v>
      </c>
      <c r="I255" s="2">
        <v>3.1199999999999999E-2</v>
      </c>
    </row>
    <row r="256" spans="1:9" x14ac:dyDescent="0.25">
      <c r="A256" s="3">
        <v>14</v>
      </c>
      <c r="B256" s="2">
        <v>0.49199999999999999</v>
      </c>
      <c r="C256" s="2">
        <v>6.8000000000000005E-2</v>
      </c>
      <c r="D256" s="2">
        <v>0.18240000000000001</v>
      </c>
      <c r="E256" s="2">
        <v>6.1400000000000003E-2</v>
      </c>
      <c r="F256" s="2">
        <v>0.27500000000000002</v>
      </c>
      <c r="G256" s="2">
        <v>5.7099999999999998E-2</v>
      </c>
      <c r="H256" s="2">
        <v>5.0599999999999999E-2</v>
      </c>
      <c r="I256" s="2">
        <v>2.9700000000000001E-2</v>
      </c>
    </row>
    <row r="257" spans="1:9" x14ac:dyDescent="0.25">
      <c r="A257" s="3">
        <v>15</v>
      </c>
      <c r="B257" s="2">
        <v>0.49430000000000002</v>
      </c>
      <c r="C257" s="2">
        <v>6.7299999999999999E-2</v>
      </c>
      <c r="D257" s="2">
        <v>0.18240000000000001</v>
      </c>
      <c r="E257" s="2">
        <v>6.0699999999999997E-2</v>
      </c>
      <c r="F257" s="2">
        <v>0.27339999999999998</v>
      </c>
      <c r="G257" s="2">
        <v>5.62E-2</v>
      </c>
      <c r="H257" s="2">
        <v>4.99E-2</v>
      </c>
      <c r="I257" s="2">
        <v>2.9000000000000001E-2</v>
      </c>
    </row>
    <row r="258" spans="1:9" x14ac:dyDescent="0.25">
      <c r="A258" s="3">
        <v>16</v>
      </c>
      <c r="B258" s="2">
        <v>0.49659999999999999</v>
      </c>
      <c r="C258" s="2">
        <v>6.6600000000000006E-2</v>
      </c>
      <c r="D258" s="2">
        <v>0.18240000000000001</v>
      </c>
      <c r="E258" s="2">
        <v>0.06</v>
      </c>
      <c r="F258" s="2">
        <v>0.27179999999999999</v>
      </c>
      <c r="G258" s="2">
        <v>5.5300000000000002E-2</v>
      </c>
      <c r="H258" s="2">
        <v>4.9200000000000001E-2</v>
      </c>
      <c r="I258" s="2">
        <v>2.8299999999999999E-2</v>
      </c>
    </row>
    <row r="259" spans="1:9" x14ac:dyDescent="0.25">
      <c r="A259" s="3">
        <v>17</v>
      </c>
      <c r="B259" s="2">
        <v>0.49890000000000001</v>
      </c>
      <c r="C259" s="2">
        <v>6.5799999999999997E-2</v>
      </c>
      <c r="D259" s="2">
        <v>0.18229999999999999</v>
      </c>
      <c r="E259" s="2">
        <v>5.9299999999999999E-2</v>
      </c>
      <c r="F259" s="2">
        <v>0.2702</v>
      </c>
      <c r="G259" s="2">
        <v>5.45E-2</v>
      </c>
      <c r="H259" s="2">
        <v>4.8500000000000001E-2</v>
      </c>
      <c r="I259" s="2">
        <v>2.76E-2</v>
      </c>
    </row>
    <row r="260" spans="1:9" x14ac:dyDescent="0.25">
      <c r="A260" s="3">
        <v>18</v>
      </c>
      <c r="B260" s="2">
        <v>0.50119999999999998</v>
      </c>
      <c r="C260" s="2">
        <v>6.5100000000000005E-2</v>
      </c>
      <c r="D260" s="2">
        <v>0.18229999999999999</v>
      </c>
      <c r="E260" s="2">
        <v>5.8599999999999999E-2</v>
      </c>
      <c r="F260" s="2">
        <v>0.26860000000000001</v>
      </c>
      <c r="G260" s="2">
        <v>5.3600000000000002E-2</v>
      </c>
      <c r="H260" s="2">
        <v>4.7800000000000002E-2</v>
      </c>
      <c r="I260" s="2">
        <v>2.69E-2</v>
      </c>
    </row>
    <row r="261" spans="1:9" x14ac:dyDescent="0.25">
      <c r="A261" s="3">
        <v>20</v>
      </c>
      <c r="B261" s="2">
        <v>0.50580000000000003</v>
      </c>
      <c r="C261" s="2">
        <v>6.3600000000000004E-2</v>
      </c>
      <c r="D261" s="2">
        <v>0.1822</v>
      </c>
      <c r="E261" s="2">
        <v>5.7200000000000001E-2</v>
      </c>
      <c r="F261" s="2">
        <v>0.26540000000000002</v>
      </c>
      <c r="G261" s="2">
        <v>5.1900000000000002E-2</v>
      </c>
      <c r="H261" s="2">
        <v>4.65E-2</v>
      </c>
      <c r="I261" s="2">
        <v>2.5499999999999998E-2</v>
      </c>
    </row>
    <row r="262" spans="1:9" x14ac:dyDescent="0.25">
      <c r="A262" s="3">
        <v>24</v>
      </c>
      <c r="B262" s="2">
        <v>0.51490000000000002</v>
      </c>
      <c r="C262" s="2">
        <v>6.0600000000000001E-2</v>
      </c>
      <c r="D262" s="2">
        <v>0.182</v>
      </c>
      <c r="E262" s="2">
        <v>5.4399999999999997E-2</v>
      </c>
      <c r="F262" s="2">
        <v>0.2591</v>
      </c>
      <c r="G262" s="2">
        <v>4.8599999999999997E-2</v>
      </c>
      <c r="H262" s="2">
        <v>4.3900000000000002E-2</v>
      </c>
      <c r="I262" s="2">
        <v>2.3E-2</v>
      </c>
    </row>
    <row r="263" spans="1:9" x14ac:dyDescent="0.25">
      <c r="A263" s="3">
        <v>25</v>
      </c>
      <c r="B263" s="2">
        <v>0.51719999999999999</v>
      </c>
      <c r="C263" s="2">
        <v>5.9799999999999999E-2</v>
      </c>
      <c r="D263" s="2">
        <v>0.182</v>
      </c>
      <c r="E263" s="2">
        <v>5.3699999999999998E-2</v>
      </c>
      <c r="F263" s="2">
        <v>0.25750000000000001</v>
      </c>
      <c r="G263" s="2">
        <v>4.7800000000000002E-2</v>
      </c>
      <c r="H263" s="2">
        <v>4.3299999999999998E-2</v>
      </c>
      <c r="I263" s="2">
        <v>2.24E-2</v>
      </c>
    </row>
    <row r="264" spans="1:9" x14ac:dyDescent="0.25">
      <c r="A264" s="3">
        <v>27</v>
      </c>
      <c r="B264" s="2">
        <v>0.52170000000000005</v>
      </c>
      <c r="C264" s="2">
        <v>5.8299999999999998E-2</v>
      </c>
      <c r="D264" s="2">
        <v>0.18179999999999999</v>
      </c>
      <c r="E264" s="2">
        <v>5.2299999999999999E-2</v>
      </c>
      <c r="F264" s="2">
        <v>0.25440000000000002</v>
      </c>
      <c r="G264" s="2">
        <v>4.6199999999999998E-2</v>
      </c>
      <c r="H264" s="2">
        <v>4.2099999999999999E-2</v>
      </c>
      <c r="I264" s="2">
        <v>2.1299999999999999E-2</v>
      </c>
    </row>
    <row r="265" spans="1:9" x14ac:dyDescent="0.25">
      <c r="A265" s="3">
        <v>28</v>
      </c>
      <c r="B265" s="2">
        <v>0.52400000000000002</v>
      </c>
      <c r="C265" s="2">
        <v>5.7500000000000002E-2</v>
      </c>
      <c r="D265" s="2">
        <v>0.1817</v>
      </c>
      <c r="E265" s="2">
        <v>5.16E-2</v>
      </c>
      <c r="F265" s="2">
        <v>0.25280000000000002</v>
      </c>
      <c r="G265" s="2">
        <v>4.5400000000000003E-2</v>
      </c>
      <c r="H265" s="2">
        <v>4.1500000000000002E-2</v>
      </c>
      <c r="I265" s="2">
        <v>2.07E-2</v>
      </c>
    </row>
    <row r="266" spans="1:9" x14ac:dyDescent="0.25">
      <c r="A266" s="3">
        <v>30</v>
      </c>
      <c r="B266" s="2">
        <v>0.52839999999999998</v>
      </c>
      <c r="C266" s="2">
        <v>5.6000000000000001E-2</v>
      </c>
      <c r="D266" s="2">
        <v>0.18160000000000001</v>
      </c>
      <c r="E266" s="2">
        <v>5.0200000000000002E-2</v>
      </c>
      <c r="F266" s="2">
        <v>0.24970000000000001</v>
      </c>
      <c r="G266" s="2">
        <v>4.3799999999999999E-2</v>
      </c>
      <c r="H266" s="2">
        <v>4.0300000000000002E-2</v>
      </c>
      <c r="I266" s="2">
        <v>1.9599999999999999E-2</v>
      </c>
    </row>
    <row r="267" spans="1:9" x14ac:dyDescent="0.25">
      <c r="A267" s="3">
        <v>33</v>
      </c>
      <c r="B267" s="2">
        <v>0.53510000000000002</v>
      </c>
      <c r="C267" s="2">
        <v>5.3800000000000001E-2</v>
      </c>
      <c r="D267" s="2">
        <v>0.18129999999999999</v>
      </c>
      <c r="E267" s="2">
        <v>4.8099999999999997E-2</v>
      </c>
      <c r="F267" s="2">
        <v>0.245</v>
      </c>
      <c r="G267" s="2">
        <v>4.1500000000000002E-2</v>
      </c>
      <c r="H267" s="2">
        <v>3.8600000000000002E-2</v>
      </c>
      <c r="I267" s="2">
        <v>1.8100000000000002E-2</v>
      </c>
    </row>
    <row r="268" spans="1:9" x14ac:dyDescent="0.25">
      <c r="A268" s="3">
        <v>34</v>
      </c>
      <c r="B268" s="2">
        <v>0.53739999999999999</v>
      </c>
      <c r="C268" s="2">
        <v>5.2999999999999999E-2</v>
      </c>
      <c r="D268" s="2">
        <v>0.1812</v>
      </c>
      <c r="E268" s="2">
        <v>4.7399999999999998E-2</v>
      </c>
      <c r="F268" s="2">
        <v>0.24349999999999999</v>
      </c>
      <c r="G268" s="2">
        <v>4.07E-2</v>
      </c>
      <c r="H268" s="2">
        <v>3.7999999999999999E-2</v>
      </c>
      <c r="I268" s="2">
        <v>1.7600000000000001E-2</v>
      </c>
    </row>
    <row r="269" spans="1:9" x14ac:dyDescent="0.25">
      <c r="A269" s="3">
        <v>37</v>
      </c>
      <c r="B269" s="2">
        <v>0.54400000000000004</v>
      </c>
      <c r="C269" s="2">
        <v>5.0700000000000002E-2</v>
      </c>
      <c r="D269" s="2">
        <v>0.18079999999999999</v>
      </c>
      <c r="E269" s="2">
        <v>4.53E-2</v>
      </c>
      <c r="F269" s="2">
        <v>0.23880000000000001</v>
      </c>
      <c r="G269" s="2">
        <v>3.85E-2</v>
      </c>
      <c r="H269" s="2">
        <v>3.6400000000000002E-2</v>
      </c>
      <c r="I269" s="2">
        <v>1.6199999999999999E-2</v>
      </c>
    </row>
    <row r="270" spans="1:9" x14ac:dyDescent="0.25">
      <c r="A270" s="3">
        <v>39</v>
      </c>
      <c r="B270" s="2">
        <v>0.5484</v>
      </c>
      <c r="C270" s="2">
        <v>4.9200000000000001E-2</v>
      </c>
      <c r="D270" s="2">
        <v>0.18049999999999999</v>
      </c>
      <c r="E270" s="2">
        <v>4.3900000000000002E-2</v>
      </c>
      <c r="F270" s="2">
        <v>0.23569999999999999</v>
      </c>
      <c r="G270" s="2">
        <v>3.6999999999999998E-2</v>
      </c>
      <c r="H270" s="2">
        <v>3.5299999999999998E-2</v>
      </c>
      <c r="I270" s="2">
        <v>1.5299999999999999E-2</v>
      </c>
    </row>
    <row r="271" spans="1:9" x14ac:dyDescent="0.25">
      <c r="A271" s="3">
        <v>40</v>
      </c>
      <c r="B271" s="2">
        <v>0.55059999999999998</v>
      </c>
      <c r="C271" s="2">
        <v>4.8500000000000001E-2</v>
      </c>
      <c r="D271" s="2">
        <v>0.1804</v>
      </c>
      <c r="E271" s="2">
        <v>4.3200000000000002E-2</v>
      </c>
      <c r="F271" s="2">
        <v>0.23419999999999999</v>
      </c>
      <c r="G271" s="2">
        <v>3.6299999999999999E-2</v>
      </c>
      <c r="H271" s="2">
        <v>3.4799999999999998E-2</v>
      </c>
      <c r="I271" s="2">
        <v>1.49E-2</v>
      </c>
    </row>
    <row r="272" spans="1:9" x14ac:dyDescent="0.25">
      <c r="A272" s="3">
        <v>46</v>
      </c>
      <c r="B272" s="2">
        <v>0.56359999999999999</v>
      </c>
      <c r="C272" s="2">
        <v>4.3999999999999997E-2</v>
      </c>
      <c r="D272" s="2">
        <v>0.17949999999999999</v>
      </c>
      <c r="E272" s="2">
        <v>3.9100000000000003E-2</v>
      </c>
      <c r="F272" s="2">
        <v>0.22509999999999999</v>
      </c>
      <c r="G272" s="2">
        <v>3.2199999999999999E-2</v>
      </c>
      <c r="H272" s="2">
        <v>3.1899999999999998E-2</v>
      </c>
      <c r="I272" s="2">
        <v>1.2500000000000001E-2</v>
      </c>
    </row>
    <row r="273" spans="1:9" x14ac:dyDescent="0.25">
      <c r="A273" s="3">
        <v>48</v>
      </c>
      <c r="B273" s="2">
        <v>0.56779999999999997</v>
      </c>
      <c r="C273" s="2">
        <v>4.2500000000000003E-2</v>
      </c>
      <c r="D273" s="2">
        <v>0.17910000000000001</v>
      </c>
      <c r="E273" s="2">
        <v>3.78E-2</v>
      </c>
      <c r="F273" s="2">
        <v>0.22209999999999999</v>
      </c>
      <c r="G273" s="2">
        <v>3.09E-2</v>
      </c>
      <c r="H273" s="2">
        <v>3.09E-2</v>
      </c>
      <c r="I273" s="2">
        <v>1.18E-2</v>
      </c>
    </row>
    <row r="274" spans="1:9" x14ac:dyDescent="0.25">
      <c r="A274" s="3">
        <v>49</v>
      </c>
      <c r="B274" s="2">
        <v>0.56999999999999995</v>
      </c>
      <c r="C274" s="2">
        <v>4.1799999999999997E-2</v>
      </c>
      <c r="D274" s="2">
        <v>0.1789</v>
      </c>
      <c r="E274" s="2">
        <v>3.7100000000000001E-2</v>
      </c>
      <c r="F274" s="2">
        <v>0.22059999999999999</v>
      </c>
      <c r="G274" s="2">
        <v>3.0200000000000001E-2</v>
      </c>
      <c r="H274" s="2">
        <v>3.0499999999999999E-2</v>
      </c>
      <c r="I274" s="2">
        <v>1.15E-2</v>
      </c>
    </row>
    <row r="275" spans="1:9" x14ac:dyDescent="0.25">
      <c r="A275" s="3">
        <v>50</v>
      </c>
      <c r="B275" s="2">
        <v>0.57210000000000005</v>
      </c>
      <c r="C275" s="2">
        <v>4.1000000000000002E-2</v>
      </c>
      <c r="D275" s="2">
        <v>0.17879999999999999</v>
      </c>
      <c r="E275" s="2">
        <v>3.6400000000000002E-2</v>
      </c>
      <c r="F275" s="2">
        <v>0.21909999999999999</v>
      </c>
      <c r="G275" s="2">
        <v>2.9600000000000001E-2</v>
      </c>
      <c r="H275" s="2">
        <v>0.03</v>
      </c>
      <c r="I275" s="2">
        <v>1.12E-2</v>
      </c>
    </row>
    <row r="276" spans="1:9" x14ac:dyDescent="0.25">
      <c r="A276" s="3">
        <v>51</v>
      </c>
      <c r="B276" s="2">
        <v>0.57420000000000004</v>
      </c>
      <c r="C276" s="2">
        <v>4.0300000000000002E-2</v>
      </c>
      <c r="D276" s="2">
        <v>0.17860000000000001</v>
      </c>
      <c r="E276" s="2">
        <v>3.5799999999999998E-2</v>
      </c>
      <c r="F276" s="2">
        <v>0.21759999999999999</v>
      </c>
      <c r="G276" s="2">
        <v>2.9000000000000001E-2</v>
      </c>
      <c r="H276" s="2">
        <v>2.9600000000000001E-2</v>
      </c>
      <c r="I276" s="2">
        <v>1.0800000000000001E-2</v>
      </c>
    </row>
    <row r="277" spans="1:9" x14ac:dyDescent="0.25">
      <c r="A277" s="3">
        <v>57</v>
      </c>
      <c r="B277" s="2">
        <v>0.58679999999999999</v>
      </c>
      <c r="C277" s="2">
        <v>3.5999999999999997E-2</v>
      </c>
      <c r="D277" s="2">
        <v>0.17730000000000001</v>
      </c>
      <c r="E277" s="2">
        <v>3.1899999999999998E-2</v>
      </c>
      <c r="F277" s="2">
        <v>0.20880000000000001</v>
      </c>
      <c r="G277" s="2">
        <v>2.5399999999999999E-2</v>
      </c>
      <c r="H277" s="2">
        <v>2.7E-2</v>
      </c>
      <c r="I277" s="2">
        <v>9.1000000000000004E-3</v>
      </c>
    </row>
    <row r="278" spans="1:9" x14ac:dyDescent="0.25">
      <c r="A278" s="3">
        <v>58</v>
      </c>
      <c r="B278" s="2">
        <v>0.58889999999999998</v>
      </c>
      <c r="C278" s="2">
        <v>3.5299999999999998E-2</v>
      </c>
      <c r="D278" s="2">
        <v>0.17710000000000001</v>
      </c>
      <c r="E278" s="2">
        <v>3.1199999999999999E-2</v>
      </c>
      <c r="F278" s="2">
        <v>0.2074</v>
      </c>
      <c r="G278" s="2">
        <v>2.4899999999999999E-2</v>
      </c>
      <c r="H278" s="2">
        <v>2.6599999999999999E-2</v>
      </c>
      <c r="I278" s="2">
        <v>8.8999999999999999E-3</v>
      </c>
    </row>
    <row r="279" spans="1:9" x14ac:dyDescent="0.25">
      <c r="A279" s="3">
        <v>60</v>
      </c>
      <c r="B279" s="2">
        <v>0.59299999999999997</v>
      </c>
      <c r="C279" s="2">
        <v>3.39E-2</v>
      </c>
      <c r="D279" s="2">
        <v>0.1767</v>
      </c>
      <c r="E279" s="2">
        <v>0.03</v>
      </c>
      <c r="F279" s="2">
        <v>0.20449999999999999</v>
      </c>
      <c r="G279" s="2">
        <v>2.3800000000000002E-2</v>
      </c>
      <c r="H279" s="2">
        <v>2.58E-2</v>
      </c>
      <c r="I279" s="2">
        <v>8.3999999999999995E-3</v>
      </c>
    </row>
    <row r="280" spans="1:9" x14ac:dyDescent="0.25">
      <c r="A280" s="3">
        <v>65</v>
      </c>
      <c r="B280" s="2">
        <v>0.60319999999999996</v>
      </c>
      <c r="C280" s="2">
        <v>3.0599999999999999E-2</v>
      </c>
      <c r="D280" s="2">
        <v>0.17549999999999999</v>
      </c>
      <c r="E280" s="2">
        <v>2.7E-2</v>
      </c>
      <c r="F280" s="2">
        <v>0.19739999999999999</v>
      </c>
      <c r="G280" s="2">
        <v>2.1299999999999999E-2</v>
      </c>
      <c r="H280" s="2">
        <v>2.3900000000000001E-2</v>
      </c>
      <c r="I280" s="2">
        <v>7.3000000000000001E-3</v>
      </c>
    </row>
    <row r="281" spans="1:9" x14ac:dyDescent="0.25">
      <c r="A281" s="3">
        <v>66</v>
      </c>
      <c r="B281" s="2">
        <v>0.60519999999999996</v>
      </c>
      <c r="C281" s="2">
        <v>0.03</v>
      </c>
      <c r="D281" s="2">
        <v>0.17530000000000001</v>
      </c>
      <c r="E281" s="2">
        <v>2.64E-2</v>
      </c>
      <c r="F281" s="2">
        <v>0.19600000000000001</v>
      </c>
      <c r="G281" s="2">
        <v>2.0799999999999999E-2</v>
      </c>
      <c r="H281" s="2">
        <v>2.3599999999999999E-2</v>
      </c>
      <c r="I281" s="2">
        <v>7.1000000000000004E-3</v>
      </c>
    </row>
    <row r="282" spans="1:9" x14ac:dyDescent="0.25">
      <c r="A282" s="3">
        <v>67</v>
      </c>
      <c r="B282" s="2">
        <v>0.60719999999999996</v>
      </c>
      <c r="C282" s="2">
        <v>2.93E-2</v>
      </c>
      <c r="D282" s="2">
        <v>0.17499999999999999</v>
      </c>
      <c r="E282" s="2">
        <v>2.58E-2</v>
      </c>
      <c r="F282" s="2">
        <v>0.1946</v>
      </c>
      <c r="G282" s="2">
        <v>2.0400000000000001E-2</v>
      </c>
      <c r="H282" s="2">
        <v>2.3199999999999998E-2</v>
      </c>
      <c r="I282" s="2">
        <v>6.8999999999999999E-3</v>
      </c>
    </row>
    <row r="283" spans="1:9" x14ac:dyDescent="0.25">
      <c r="A283" s="3">
        <v>68</v>
      </c>
      <c r="B283" s="2">
        <v>0.60919999999999996</v>
      </c>
      <c r="C283" s="2">
        <v>2.87E-2</v>
      </c>
      <c r="D283" s="2">
        <v>0.17480000000000001</v>
      </c>
      <c r="E283" s="2">
        <v>2.53E-2</v>
      </c>
      <c r="F283" s="2">
        <v>0.19320000000000001</v>
      </c>
      <c r="G283" s="2">
        <v>1.9900000000000001E-2</v>
      </c>
      <c r="H283" s="2">
        <v>2.2800000000000001E-2</v>
      </c>
      <c r="I283" s="2">
        <v>6.7000000000000002E-3</v>
      </c>
    </row>
    <row r="284" spans="1:9" x14ac:dyDescent="0.25">
      <c r="A284" s="3">
        <v>70</v>
      </c>
      <c r="B284" s="2">
        <v>0.61319999999999997</v>
      </c>
      <c r="C284" s="2">
        <v>2.75E-2</v>
      </c>
      <c r="D284" s="2">
        <v>0.17419999999999999</v>
      </c>
      <c r="E284" s="2">
        <v>2.4199999999999999E-2</v>
      </c>
      <c r="F284" s="2">
        <v>0.19040000000000001</v>
      </c>
      <c r="G284" s="2">
        <v>1.9099999999999999E-2</v>
      </c>
      <c r="H284" s="2">
        <v>2.2100000000000002E-2</v>
      </c>
      <c r="I284" s="2">
        <v>6.4000000000000003E-3</v>
      </c>
    </row>
    <row r="285" spans="1:9" x14ac:dyDescent="0.25">
      <c r="A285" s="3">
        <v>71</v>
      </c>
      <c r="B285" s="2">
        <v>0.61519999999999997</v>
      </c>
      <c r="C285" s="2">
        <v>2.69E-2</v>
      </c>
      <c r="D285" s="2">
        <v>0.17399999999999999</v>
      </c>
      <c r="E285" s="2">
        <v>2.3599999999999999E-2</v>
      </c>
      <c r="F285" s="2">
        <v>0.189</v>
      </c>
      <c r="G285" s="2">
        <v>1.8700000000000001E-2</v>
      </c>
      <c r="H285" s="2">
        <v>2.18E-2</v>
      </c>
      <c r="I285" s="2">
        <v>6.1999999999999998E-3</v>
      </c>
    </row>
    <row r="286" spans="1:9" x14ac:dyDescent="0.25">
      <c r="A286" s="3">
        <v>73</v>
      </c>
      <c r="B286" s="2">
        <v>0.61909999999999998</v>
      </c>
      <c r="C286" s="2">
        <v>2.58E-2</v>
      </c>
      <c r="D286" s="2">
        <v>0.1734</v>
      </c>
      <c r="E286" s="2">
        <v>2.2599999999999999E-2</v>
      </c>
      <c r="F286" s="2">
        <v>0.18629999999999999</v>
      </c>
      <c r="G286" s="2">
        <v>1.7999999999999999E-2</v>
      </c>
      <c r="H286" s="2">
        <v>2.1100000000000001E-2</v>
      </c>
      <c r="I286" s="2">
        <v>6.0000000000000001E-3</v>
      </c>
    </row>
    <row r="287" spans="1:9" x14ac:dyDescent="0.25">
      <c r="A287" s="3">
        <v>75</v>
      </c>
      <c r="B287" s="2">
        <v>0.62309999999999999</v>
      </c>
      <c r="C287" s="2">
        <v>2.4799999999999999E-2</v>
      </c>
      <c r="D287" s="2">
        <v>0.1729</v>
      </c>
      <c r="E287" s="2">
        <v>2.1600000000000001E-2</v>
      </c>
      <c r="F287" s="2">
        <v>0.18360000000000001</v>
      </c>
      <c r="G287" s="2">
        <v>1.7299999999999999E-2</v>
      </c>
      <c r="H287" s="2">
        <v>2.0500000000000001E-2</v>
      </c>
      <c r="I287" s="2">
        <v>5.7000000000000002E-3</v>
      </c>
    </row>
    <row r="288" spans="1:9" x14ac:dyDescent="0.25">
      <c r="A288" s="3">
        <v>80</v>
      </c>
      <c r="B288" s="2">
        <v>0.63270000000000004</v>
      </c>
      <c r="C288" s="2">
        <v>2.24E-2</v>
      </c>
      <c r="D288" s="2">
        <v>0.1714</v>
      </c>
      <c r="E288" s="2">
        <v>1.9400000000000001E-2</v>
      </c>
      <c r="F288" s="2">
        <v>0.1769</v>
      </c>
      <c r="G288" s="2">
        <v>1.5900000000000001E-2</v>
      </c>
      <c r="H288" s="2">
        <v>1.9E-2</v>
      </c>
      <c r="I288" s="2">
        <v>5.1000000000000004E-3</v>
      </c>
    </row>
    <row r="289" spans="1:9" x14ac:dyDescent="0.25">
      <c r="A289" s="3">
        <v>82</v>
      </c>
      <c r="B289" s="2">
        <v>0.63649999999999995</v>
      </c>
      <c r="C289" s="2">
        <v>2.1600000000000001E-2</v>
      </c>
      <c r="D289" s="2">
        <v>0.17080000000000001</v>
      </c>
      <c r="E289" s="2">
        <v>1.8700000000000001E-2</v>
      </c>
      <c r="F289" s="2">
        <v>0.17430000000000001</v>
      </c>
      <c r="G289" s="2">
        <v>1.54E-2</v>
      </c>
      <c r="H289" s="2">
        <v>1.84E-2</v>
      </c>
      <c r="I289" s="2">
        <v>5.0000000000000001E-3</v>
      </c>
    </row>
    <row r="290" spans="1:9" x14ac:dyDescent="0.25">
      <c r="A290" s="3">
        <v>85</v>
      </c>
      <c r="B290" s="2">
        <v>0.64219999999999999</v>
      </c>
      <c r="C290" s="2">
        <v>2.06E-2</v>
      </c>
      <c r="D290" s="2">
        <v>0.1699</v>
      </c>
      <c r="E290" s="2">
        <v>1.77E-2</v>
      </c>
      <c r="F290" s="2">
        <v>0.1704</v>
      </c>
      <c r="G290" s="2">
        <v>1.49E-2</v>
      </c>
      <c r="H290" s="2">
        <v>1.7500000000000002E-2</v>
      </c>
      <c r="I290" s="2">
        <v>4.7000000000000002E-3</v>
      </c>
    </row>
    <row r="291" spans="1:9" x14ac:dyDescent="0.25">
      <c r="A291" s="3">
        <v>90</v>
      </c>
      <c r="B291" s="2">
        <v>0.65149999999999997</v>
      </c>
      <c r="C291" s="2">
        <v>1.9400000000000001E-2</v>
      </c>
      <c r="D291" s="2">
        <v>0.16830000000000001</v>
      </c>
      <c r="E291" s="2">
        <v>1.66E-2</v>
      </c>
      <c r="F291" s="2">
        <v>0.16400000000000001</v>
      </c>
      <c r="G291" s="2">
        <v>1.43E-2</v>
      </c>
      <c r="H291" s="2">
        <v>1.6199999999999999E-2</v>
      </c>
      <c r="I291" s="2">
        <v>4.4999999999999997E-3</v>
      </c>
    </row>
    <row r="292" spans="1:9" x14ac:dyDescent="0.25">
      <c r="A292" s="3">
        <v>94</v>
      </c>
      <c r="B292" s="2">
        <v>0.65880000000000005</v>
      </c>
      <c r="C292" s="2">
        <v>1.9E-2</v>
      </c>
      <c r="D292" s="2">
        <v>0.16700000000000001</v>
      </c>
      <c r="E292" s="2">
        <v>1.6199999999999999E-2</v>
      </c>
      <c r="F292" s="2">
        <v>0.159</v>
      </c>
      <c r="G292" s="2">
        <v>1.41E-2</v>
      </c>
      <c r="H292" s="2">
        <v>1.52E-2</v>
      </c>
      <c r="I292" s="2">
        <v>4.3E-3</v>
      </c>
    </row>
    <row r="293" spans="1:9" x14ac:dyDescent="0.25">
      <c r="A293" s="3">
        <v>95</v>
      </c>
      <c r="B293" s="2">
        <v>0.66059999999999997</v>
      </c>
      <c r="C293" s="2">
        <v>1.9E-2</v>
      </c>
      <c r="D293" s="2">
        <v>0.16669999999999999</v>
      </c>
      <c r="E293" s="2">
        <v>1.6199999999999999E-2</v>
      </c>
      <c r="F293" s="2">
        <v>0.1578</v>
      </c>
      <c r="G293" s="2">
        <v>1.41E-2</v>
      </c>
      <c r="H293" s="2">
        <v>1.49E-2</v>
      </c>
      <c r="I293" s="2">
        <v>4.3E-3</v>
      </c>
    </row>
    <row r="294" spans="1:9" x14ac:dyDescent="0.25">
      <c r="A294" s="3">
        <v>97</v>
      </c>
      <c r="B294" s="2">
        <v>0.66420000000000001</v>
      </c>
      <c r="C294" s="2">
        <v>1.9E-2</v>
      </c>
      <c r="D294" s="2">
        <v>0.16600000000000001</v>
      </c>
      <c r="E294" s="2">
        <v>1.6199999999999999E-2</v>
      </c>
      <c r="F294" s="2">
        <v>0.15529999999999999</v>
      </c>
      <c r="G294" s="2">
        <v>1.4200000000000001E-2</v>
      </c>
      <c r="H294" s="2">
        <v>1.4500000000000001E-2</v>
      </c>
      <c r="I294" s="2">
        <v>4.1999999999999997E-3</v>
      </c>
    </row>
    <row r="295" spans="1:9" x14ac:dyDescent="0.25">
      <c r="A295" s="3">
        <v>98</v>
      </c>
      <c r="B295" s="2">
        <v>0.66600000000000004</v>
      </c>
      <c r="C295" s="2">
        <v>1.9099999999999999E-2</v>
      </c>
      <c r="D295" s="2">
        <v>0.16569999999999999</v>
      </c>
      <c r="E295" s="2">
        <v>1.6299999999999999E-2</v>
      </c>
      <c r="F295" s="2">
        <v>0.15409999999999999</v>
      </c>
      <c r="G295" s="2">
        <v>1.4200000000000001E-2</v>
      </c>
      <c r="H295" s="2">
        <v>1.4200000000000001E-2</v>
      </c>
      <c r="I295" s="2">
        <v>4.1999999999999997E-3</v>
      </c>
    </row>
    <row r="296" spans="1:9" x14ac:dyDescent="0.25">
      <c r="A296" s="3">
        <v>99</v>
      </c>
      <c r="B296" s="2">
        <v>0.66769999999999996</v>
      </c>
      <c r="C296" s="2">
        <v>1.9199999999999998E-2</v>
      </c>
      <c r="D296" s="2">
        <v>0.1653</v>
      </c>
      <c r="E296" s="2">
        <v>1.6400000000000001E-2</v>
      </c>
      <c r="F296" s="2">
        <v>0.15290000000000001</v>
      </c>
      <c r="G296" s="2">
        <v>1.43E-2</v>
      </c>
      <c r="H296" s="2">
        <v>1.4E-2</v>
      </c>
      <c r="I296" s="2">
        <v>4.1999999999999997E-3</v>
      </c>
    </row>
    <row r="297" spans="1:9" x14ac:dyDescent="0.25">
      <c r="A297" s="3">
        <v>100</v>
      </c>
      <c r="B297" s="2">
        <v>0.66949999999999998</v>
      </c>
      <c r="C297" s="2">
        <v>1.9300000000000001E-2</v>
      </c>
      <c r="D297" s="2">
        <v>0.16500000000000001</v>
      </c>
      <c r="E297" s="2">
        <v>1.6500000000000001E-2</v>
      </c>
      <c r="F297" s="2">
        <v>0.1517</v>
      </c>
      <c r="G297" s="2">
        <v>1.43E-2</v>
      </c>
      <c r="H297" s="2">
        <v>1.38E-2</v>
      </c>
      <c r="I297" s="2">
        <v>4.1000000000000003E-3</v>
      </c>
    </row>
    <row r="298" spans="1:9" x14ac:dyDescent="0.25">
      <c r="A298" s="38"/>
      <c r="B298" s="39"/>
      <c r="C298" s="39"/>
      <c r="D298" s="39"/>
      <c r="E298" s="39"/>
      <c r="F298" s="39"/>
      <c r="G298" s="39"/>
      <c r="H298" s="39"/>
      <c r="I298" s="40"/>
    </row>
    <row r="299" spans="1:9" x14ac:dyDescent="0.25">
      <c r="A299" s="2"/>
      <c r="B299" s="35" t="s">
        <v>116</v>
      </c>
      <c r="C299" s="36"/>
      <c r="D299" s="36"/>
      <c r="E299" s="36"/>
      <c r="F299" s="36"/>
      <c r="G299" s="36"/>
      <c r="H299" s="36"/>
      <c r="I299" s="37"/>
    </row>
    <row r="300" spans="1:9" x14ac:dyDescent="0.25">
      <c r="A300" s="3" t="s">
        <v>110</v>
      </c>
      <c r="B300" s="3" t="s">
        <v>88</v>
      </c>
      <c r="C300" s="3" t="s">
        <v>105</v>
      </c>
      <c r="D300" s="3" t="s">
        <v>90</v>
      </c>
      <c r="E300" s="3" t="s">
        <v>105</v>
      </c>
      <c r="F300" s="3" t="s">
        <v>91</v>
      </c>
      <c r="G300" s="3" t="s">
        <v>105</v>
      </c>
      <c r="H300" s="3" t="s">
        <v>92</v>
      </c>
      <c r="I300" s="3" t="s">
        <v>105</v>
      </c>
    </row>
    <row r="301" spans="1:9" x14ac:dyDescent="0.25">
      <c r="A301" s="3">
        <v>1</v>
      </c>
      <c r="B301" s="2">
        <v>0.95289999999999997</v>
      </c>
      <c r="C301" s="2" t="s">
        <v>11</v>
      </c>
      <c r="D301" s="2">
        <v>3.7100000000000001E-2</v>
      </c>
      <c r="E301" s="2" t="s">
        <v>11</v>
      </c>
      <c r="F301" s="2">
        <v>9.4999999999999998E-3</v>
      </c>
      <c r="G301" s="2" t="s">
        <v>11</v>
      </c>
      <c r="H301" s="2">
        <v>5.0000000000000001E-4</v>
      </c>
      <c r="I301" s="2" t="s">
        <v>11</v>
      </c>
    </row>
    <row r="302" spans="1:9" x14ac:dyDescent="0.25">
      <c r="A302" s="3">
        <v>2</v>
      </c>
      <c r="B302" s="2">
        <v>0.1469</v>
      </c>
      <c r="C302" s="2" t="s">
        <v>11</v>
      </c>
      <c r="D302" s="2">
        <v>0.80220000000000002</v>
      </c>
      <c r="E302" s="2" t="s">
        <v>11</v>
      </c>
      <c r="F302" s="2">
        <v>5.0700000000000002E-2</v>
      </c>
      <c r="G302" s="2" t="s">
        <v>11</v>
      </c>
      <c r="H302" s="2">
        <v>2.0000000000000001E-4</v>
      </c>
      <c r="I302" s="2" t="s">
        <v>11</v>
      </c>
    </row>
    <row r="303" spans="1:9" x14ac:dyDescent="0.25">
      <c r="A303" s="3">
        <v>3</v>
      </c>
      <c r="B303" s="2">
        <v>3.8800000000000001E-2</v>
      </c>
      <c r="C303" s="2" t="s">
        <v>11</v>
      </c>
      <c r="D303" s="2">
        <v>5.2499999999999998E-2</v>
      </c>
      <c r="E303" s="2" t="s">
        <v>11</v>
      </c>
      <c r="F303" s="2">
        <v>0.90569999999999995</v>
      </c>
      <c r="G303" s="2" t="s">
        <v>11</v>
      </c>
      <c r="H303" s="2">
        <v>3.0000000000000001E-3</v>
      </c>
      <c r="I303" s="2" t="s">
        <v>11</v>
      </c>
    </row>
    <row r="304" spans="1:9" x14ac:dyDescent="0.25">
      <c r="A304" s="3">
        <v>4</v>
      </c>
      <c r="B304" s="2">
        <v>1.9400000000000001E-2</v>
      </c>
      <c r="C304" s="2" t="s">
        <v>11</v>
      </c>
      <c r="D304" s="2">
        <v>2E-3</v>
      </c>
      <c r="E304" s="2" t="s">
        <v>11</v>
      </c>
      <c r="F304" s="2">
        <v>2.9399999999999999E-2</v>
      </c>
      <c r="G304" s="2" t="s">
        <v>11</v>
      </c>
      <c r="H304" s="2">
        <v>0.94920000000000004</v>
      </c>
      <c r="I304" s="2" t="s">
        <v>11</v>
      </c>
    </row>
  </sheetData>
  <mergeCells count="5">
    <mergeCell ref="A3:F3"/>
    <mergeCell ref="B69:F69"/>
    <mergeCell ref="B244:I244"/>
    <mergeCell ref="A298:I298"/>
    <mergeCell ref="B299:I299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P204"/>
  <sheetViews>
    <sheetView topLeftCell="A176" workbookViewId="0">
      <selection activeCell="I196" sqref="I196"/>
    </sheetView>
  </sheetViews>
  <sheetFormatPr defaultColWidth="36.28515625" defaultRowHeight="15" x14ac:dyDescent="0.25"/>
  <cols>
    <col min="1" max="1" width="32.285156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37.5" x14ac:dyDescent="0.25">
      <c r="A1" s="1" t="s">
        <v>206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13388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13.414999999999999</v>
      </c>
      <c r="C7" s="2"/>
      <c r="D7" s="2"/>
      <c r="E7" s="2"/>
      <c r="F7" s="2"/>
    </row>
    <row r="8" spans="1:6" x14ac:dyDescent="0.25">
      <c r="A8" s="3" t="s">
        <v>4</v>
      </c>
      <c r="B8" s="2">
        <v>13.414999999999999</v>
      </c>
      <c r="C8" s="2"/>
      <c r="D8" s="2"/>
      <c r="E8" s="2"/>
      <c r="F8" s="2"/>
    </row>
    <row r="9" spans="1:6" x14ac:dyDescent="0.25">
      <c r="A9" s="3" t="s">
        <v>5</v>
      </c>
      <c r="B9" s="2">
        <v>1680</v>
      </c>
      <c r="C9" s="2"/>
      <c r="D9" s="2"/>
      <c r="E9" s="2"/>
      <c r="F9" s="2"/>
    </row>
    <row r="10" spans="1:6" x14ac:dyDescent="0.25">
      <c r="A10" s="3" t="s">
        <v>6</v>
      </c>
      <c r="B10" s="2">
        <v>1680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-12478.657800000001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-12478.657800000001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25014.328300000001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24969.315600000002</v>
      </c>
      <c r="C29" s="2"/>
      <c r="D29" s="2"/>
      <c r="E29" s="2"/>
      <c r="F29" s="2"/>
    </row>
    <row r="30" spans="1:6" x14ac:dyDescent="0.25">
      <c r="A30" s="3" t="s">
        <v>26</v>
      </c>
      <c r="B30" s="2">
        <v>24975.315600000002</v>
      </c>
      <c r="C30" s="2"/>
      <c r="D30" s="2"/>
      <c r="E30" s="2"/>
      <c r="F30" s="2"/>
    </row>
    <row r="31" spans="1:6" x14ac:dyDescent="0.25">
      <c r="A31" s="3" t="s">
        <v>27</v>
      </c>
      <c r="B31" s="2">
        <v>25020.328300000001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24995.260900000001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0.34289999999999998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4.1999999999999997E-3</v>
      </c>
      <c r="C38" s="2"/>
      <c r="D38" s="2"/>
      <c r="E38" s="2"/>
      <c r="F38" s="2"/>
    </row>
    <row r="39" spans="1:6" x14ac:dyDescent="0.25">
      <c r="A39" s="3" t="s">
        <v>33</v>
      </c>
      <c r="B39" s="2">
        <v>5.1999999999999998E-3</v>
      </c>
      <c r="C39" s="2"/>
      <c r="D39" s="2"/>
      <c r="E39" s="2"/>
      <c r="F39" s="2"/>
    </row>
    <row r="40" spans="1:6" x14ac:dyDescent="0.25">
      <c r="A40" s="3" t="s">
        <v>34</v>
      </c>
      <c r="B40" s="2">
        <v>-24946.632900000001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12467.9751</v>
      </c>
      <c r="C41" s="2"/>
      <c r="D41" s="2"/>
      <c r="E41" s="2"/>
      <c r="F41" s="2"/>
    </row>
    <row r="42" spans="1:6" x14ac:dyDescent="0.25">
      <c r="A42" s="3" t="s">
        <v>36</v>
      </c>
      <c r="B42" s="2">
        <v>49893.265700000004</v>
      </c>
      <c r="C42" s="2"/>
      <c r="D42" s="2"/>
      <c r="E42" s="2"/>
      <c r="F42" s="2"/>
    </row>
    <row r="43" spans="1:6" x14ac:dyDescent="0.25">
      <c r="A43" s="3" t="s">
        <v>37</v>
      </c>
      <c r="B43" s="2">
        <v>50025.291100000002</v>
      </c>
      <c r="C43" s="2"/>
      <c r="D43" s="2"/>
      <c r="E43" s="2"/>
      <c r="F43" s="2"/>
    </row>
    <row r="44" spans="1:6" x14ac:dyDescent="0.25">
      <c r="A44" s="3" t="s">
        <v>38</v>
      </c>
      <c r="B44" s="2">
        <v>49950.278400000003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8797.2039000000004</v>
      </c>
      <c r="C48" s="2">
        <v>0</v>
      </c>
      <c r="D48" s="2">
        <v>0</v>
      </c>
      <c r="E48" s="2">
        <v>0</v>
      </c>
      <c r="F48" s="2">
        <v>8797.2039000000004</v>
      </c>
    </row>
    <row r="49" spans="1:6" x14ac:dyDescent="0.25">
      <c r="A49" s="3" t="s">
        <v>43</v>
      </c>
      <c r="B49" s="2">
        <v>2224.0382</v>
      </c>
      <c r="C49" s="2">
        <v>0</v>
      </c>
      <c r="D49" s="2">
        <v>0</v>
      </c>
      <c r="E49" s="2">
        <v>0</v>
      </c>
      <c r="F49" s="2">
        <v>2224.0382</v>
      </c>
    </row>
    <row r="50" spans="1:6" x14ac:dyDescent="0.25">
      <c r="A50" s="3" t="s">
        <v>44</v>
      </c>
      <c r="B50" s="2">
        <v>2146.3386999999998</v>
      </c>
      <c r="C50" s="2">
        <v>0</v>
      </c>
      <c r="D50" s="2">
        <v>0</v>
      </c>
      <c r="E50" s="2">
        <v>0</v>
      </c>
      <c r="F50" s="2">
        <v>2146.3386999999998</v>
      </c>
    </row>
    <row r="51" spans="1:6" x14ac:dyDescent="0.25">
      <c r="A51" s="3" t="s">
        <v>45</v>
      </c>
      <c r="B51" s="2">
        <v>220.41919999999999</v>
      </c>
      <c r="C51" s="2">
        <v>0</v>
      </c>
      <c r="D51" s="2">
        <v>0</v>
      </c>
      <c r="E51" s="2">
        <v>0</v>
      </c>
      <c r="F51" s="2">
        <v>220.41919999999999</v>
      </c>
    </row>
    <row r="52" spans="1:6" x14ac:dyDescent="0.25">
      <c r="A52" s="3" t="s">
        <v>46</v>
      </c>
      <c r="B52" s="2">
        <v>13388</v>
      </c>
      <c r="C52" s="2">
        <v>0</v>
      </c>
      <c r="D52" s="2">
        <v>0</v>
      </c>
      <c r="E52" s="2">
        <v>0</v>
      </c>
      <c r="F52" s="2">
        <v>13388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5803.8112000000001</v>
      </c>
      <c r="C56" s="2">
        <v>1454.1954000000001</v>
      </c>
      <c r="D56" s="2">
        <v>1394.99</v>
      </c>
      <c r="E56" s="2">
        <v>144.2072</v>
      </c>
      <c r="F56" s="2">
        <v>8797.2039000000004</v>
      </c>
    </row>
    <row r="57" spans="1:6" x14ac:dyDescent="0.25">
      <c r="A57" s="3" t="s">
        <v>43</v>
      </c>
      <c r="B57" s="2">
        <v>1454.1954000000001</v>
      </c>
      <c r="C57" s="2">
        <v>371.70269999999999</v>
      </c>
      <c r="D57" s="2">
        <v>361.32810000000001</v>
      </c>
      <c r="E57" s="2">
        <v>36.811999999999998</v>
      </c>
      <c r="F57" s="2">
        <v>2224.0382</v>
      </c>
    </row>
    <row r="58" spans="1:6" x14ac:dyDescent="0.25">
      <c r="A58" s="3" t="s">
        <v>44</v>
      </c>
      <c r="B58" s="2">
        <v>1394.99</v>
      </c>
      <c r="C58" s="2">
        <v>361.32810000000001</v>
      </c>
      <c r="D58" s="2">
        <v>354.26670000000001</v>
      </c>
      <c r="E58" s="2">
        <v>35.753900000000002</v>
      </c>
      <c r="F58" s="2">
        <v>2146.3386999999998</v>
      </c>
    </row>
    <row r="59" spans="1:6" x14ac:dyDescent="0.25">
      <c r="A59" s="3" t="s">
        <v>45</v>
      </c>
      <c r="B59" s="2">
        <v>144.2072</v>
      </c>
      <c r="C59" s="2">
        <v>36.811999999999998</v>
      </c>
      <c r="D59" s="2">
        <v>35.753900000000002</v>
      </c>
      <c r="E59" s="2">
        <v>3.6459999999999999</v>
      </c>
      <c r="F59" s="2">
        <v>220.41919999999999</v>
      </c>
    </row>
    <row r="60" spans="1:6" x14ac:dyDescent="0.25">
      <c r="A60" s="3" t="s">
        <v>46</v>
      </c>
      <c r="B60" s="2">
        <v>8797.2039000000004</v>
      </c>
      <c r="C60" s="2">
        <v>2224.0382</v>
      </c>
      <c r="D60" s="2">
        <v>2146.3386999999998</v>
      </c>
      <c r="E60" s="2">
        <v>220.41919999999999</v>
      </c>
      <c r="F60" s="2">
        <v>13388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0.34289999999999998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4.1999999999999997E-3</v>
      </c>
      <c r="C65" s="2"/>
      <c r="D65" s="2"/>
      <c r="E65" s="2"/>
      <c r="F65" s="2"/>
    </row>
    <row r="66" spans="1:6" x14ac:dyDescent="0.25">
      <c r="A66" s="3" t="s">
        <v>33</v>
      </c>
      <c r="B66" s="2">
        <v>5.1999999999999998E-3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1680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13388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207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8.5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1.407</v>
      </c>
      <c r="C148" s="2">
        <v>0.1198</v>
      </c>
      <c r="D148" s="2">
        <v>11.749599999999999</v>
      </c>
      <c r="E148" s="2">
        <v>0.28120000000000001</v>
      </c>
      <c r="F148" s="2">
        <v>0.18509999999999999</v>
      </c>
      <c r="G148" s="2">
        <v>1.5190999999999999</v>
      </c>
      <c r="H148" s="2">
        <v>0.35470000000000002</v>
      </c>
      <c r="I148" s="2">
        <v>0.13830000000000001</v>
      </c>
      <c r="J148" s="2">
        <v>2.5651000000000002</v>
      </c>
      <c r="K148" s="2">
        <v>-2.0430000000000001</v>
      </c>
      <c r="L148" s="2">
        <v>0.21329999999999999</v>
      </c>
      <c r="M148" s="2">
        <v>-9.5786999999999995</v>
      </c>
      <c r="N148" s="2">
        <v>165.59129999999999</v>
      </c>
      <c r="O148" s="4">
        <v>1.1E-35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8.5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207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0.2447</v>
      </c>
      <c r="C152" s="2">
        <v>0.1188</v>
      </c>
      <c r="D152" s="2">
        <v>2.0598000000000001</v>
      </c>
      <c r="E152" s="2">
        <v>-4.1700000000000001E-2</v>
      </c>
      <c r="F152" s="2">
        <v>0.1865</v>
      </c>
      <c r="G152" s="2">
        <v>-0.22359999999999999</v>
      </c>
      <c r="H152" s="2">
        <v>-0.1764</v>
      </c>
      <c r="I152" s="2">
        <v>0.1396</v>
      </c>
      <c r="J152" s="2">
        <v>-1.2637</v>
      </c>
      <c r="K152" s="2">
        <v>-2.6599999999999999E-2</v>
      </c>
      <c r="L152" s="2">
        <v>0.2137</v>
      </c>
      <c r="M152" s="2">
        <v>-0.1246</v>
      </c>
      <c r="N152" s="2">
        <v>6.9705000000000004</v>
      </c>
      <c r="O152" s="2">
        <v>7.2999999999999995E-2</v>
      </c>
      <c r="P152" s="2"/>
    </row>
    <row r="153" spans="1:16" x14ac:dyDescent="0.25">
      <c r="A153" s="3">
        <v>100</v>
      </c>
      <c r="B153" s="2">
        <v>-0.2447</v>
      </c>
      <c r="C153" s="2">
        <v>0.1188</v>
      </c>
      <c r="D153" s="2">
        <v>-2.0598000000000001</v>
      </c>
      <c r="E153" s="2">
        <v>4.1700000000000001E-2</v>
      </c>
      <c r="F153" s="2">
        <v>0.1865</v>
      </c>
      <c r="G153" s="2">
        <v>0.22359999999999999</v>
      </c>
      <c r="H153" s="2">
        <v>0.1764</v>
      </c>
      <c r="I153" s="2">
        <v>0.1396</v>
      </c>
      <c r="J153" s="2">
        <v>1.2637</v>
      </c>
      <c r="K153" s="2">
        <v>2.6599999999999999E-2</v>
      </c>
      <c r="L153" s="2">
        <v>0.2137</v>
      </c>
      <c r="M153" s="2">
        <v>0.1246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20.996500000000001</v>
      </c>
      <c r="E160" s="2">
        <v>1</v>
      </c>
      <c r="F160" s="4">
        <v>4.6E-6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39.434100000000001</v>
      </c>
      <c r="E161" s="2">
        <v>1</v>
      </c>
      <c r="F161" s="4">
        <v>3.4000000000000001E-10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144.92910000000001</v>
      </c>
      <c r="E162" s="2">
        <v>1</v>
      </c>
      <c r="F162" s="4">
        <v>2.2000000000000001E-33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7.8200000000000006E-2</v>
      </c>
      <c r="E163" s="2">
        <v>1</v>
      </c>
      <c r="F163" s="2">
        <v>0.78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44.772799999999997</v>
      </c>
      <c r="E164" s="2">
        <v>1</v>
      </c>
      <c r="F164" s="4">
        <v>2.2000000000000002E-11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62.219799999999999</v>
      </c>
      <c r="E165" s="2">
        <v>1</v>
      </c>
      <c r="F165" s="4">
        <v>3.0999999999999999E-15</v>
      </c>
    </row>
    <row r="166" spans="1:9" x14ac:dyDescent="0.25">
      <c r="A166" s="3" t="s">
        <v>207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1.3506</v>
      </c>
      <c r="E167" s="2">
        <v>1</v>
      </c>
      <c r="F167" s="2">
        <v>0.25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6.3672000000000004</v>
      </c>
      <c r="E168" s="2">
        <v>1</v>
      </c>
      <c r="F168" s="2">
        <v>1.2E-2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0.89880000000000004</v>
      </c>
      <c r="E169" s="2">
        <v>1</v>
      </c>
      <c r="F169" s="2">
        <v>0.34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0.25569999999999998</v>
      </c>
      <c r="E170" s="2">
        <v>1</v>
      </c>
      <c r="F170" s="2">
        <v>0.61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1.9E-3</v>
      </c>
      <c r="E171" s="2">
        <v>1</v>
      </c>
      <c r="F171" s="2">
        <v>0.97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0.24060000000000001</v>
      </c>
      <c r="E172" s="2">
        <v>1</v>
      </c>
      <c r="F172" s="2">
        <v>0.62</v>
      </c>
    </row>
    <row r="174" spans="1:9" ht="18.75" x14ac:dyDescent="0.25">
      <c r="A174" s="1" t="s">
        <v>111</v>
      </c>
    </row>
    <row r="176" spans="1:9" ht="28.5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0.65710000000000002</v>
      </c>
      <c r="C177" s="2">
        <v>1.8800000000000001E-2</v>
      </c>
      <c r="D177" s="2">
        <v>0.1661</v>
      </c>
      <c r="E177" s="2">
        <v>1.61E-2</v>
      </c>
      <c r="F177" s="2">
        <v>0.1603</v>
      </c>
      <c r="G177" s="2">
        <v>1.4E-2</v>
      </c>
      <c r="H177" s="2">
        <v>1.6500000000000001E-2</v>
      </c>
      <c r="I177" s="2">
        <v>4.4999999999999997E-3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207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0.95099999999999996</v>
      </c>
      <c r="C180" s="2" t="s">
        <v>11</v>
      </c>
      <c r="D180" s="2">
        <v>0.9163</v>
      </c>
      <c r="E180" s="2" t="s">
        <v>11</v>
      </c>
      <c r="F180" s="2">
        <v>0.89319999999999999</v>
      </c>
      <c r="G180" s="2" t="s">
        <v>11</v>
      </c>
      <c r="H180" s="2">
        <v>0.91859999999999997</v>
      </c>
      <c r="I180" s="2" t="s">
        <v>11</v>
      </c>
    </row>
    <row r="181" spans="1:9" x14ac:dyDescent="0.25">
      <c r="A181" s="3">
        <v>100</v>
      </c>
      <c r="B181" s="2">
        <v>4.9000000000000002E-2</v>
      </c>
      <c r="C181" s="2" t="s">
        <v>11</v>
      </c>
      <c r="D181" s="2">
        <v>8.3699999999999997E-2</v>
      </c>
      <c r="E181" s="2" t="s">
        <v>11</v>
      </c>
      <c r="F181" s="2">
        <v>0.10680000000000001</v>
      </c>
      <c r="G181" s="2" t="s">
        <v>11</v>
      </c>
      <c r="H181" s="2">
        <v>8.14E-2</v>
      </c>
      <c r="I181" s="2" t="s">
        <v>11</v>
      </c>
    </row>
    <row r="183" spans="1:9" ht="18.75" x14ac:dyDescent="0.25">
      <c r="A183" s="1" t="s">
        <v>113</v>
      </c>
    </row>
    <row r="185" spans="1:9" ht="28.5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0.65710000000000002</v>
      </c>
      <c r="C186" s="2">
        <v>0.1661</v>
      </c>
      <c r="D186" s="2">
        <v>0.1603</v>
      </c>
      <c r="E186" s="2">
        <v>1.6500000000000001E-2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207</v>
      </c>
      <c r="B188" s="2"/>
      <c r="C188" s="2"/>
      <c r="D188" s="2"/>
      <c r="E188" s="2"/>
    </row>
    <row r="189" spans="1:9" x14ac:dyDescent="0.25">
      <c r="A189" s="3">
        <v>0</v>
      </c>
      <c r="B189" s="2">
        <v>0.66800000000000004</v>
      </c>
      <c r="C189" s="2">
        <v>0.16270000000000001</v>
      </c>
      <c r="D189" s="2">
        <v>0.15310000000000001</v>
      </c>
      <c r="E189" s="2">
        <v>1.6199999999999999E-2</v>
      </c>
    </row>
    <row r="190" spans="1:9" x14ac:dyDescent="0.25">
      <c r="A190" s="3">
        <v>100</v>
      </c>
      <c r="B190" s="2">
        <v>0.49859999999999999</v>
      </c>
      <c r="C190" s="2">
        <v>0.21540000000000001</v>
      </c>
      <c r="D190" s="2">
        <v>0.26519999999999999</v>
      </c>
      <c r="E190" s="2">
        <v>2.0799999999999999E-2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207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>
        <v>0</v>
      </c>
      <c r="B196" s="2">
        <v>0.66800000000000004</v>
      </c>
      <c r="C196" s="2">
        <v>1.9400000000000001E-2</v>
      </c>
      <c r="D196" s="2">
        <v>0.16270000000000001</v>
      </c>
      <c r="E196" s="2">
        <v>1.6400000000000001E-2</v>
      </c>
      <c r="F196" s="2">
        <v>0.15310000000000001</v>
      </c>
      <c r="G196" s="2">
        <v>1.44E-2</v>
      </c>
      <c r="H196" s="2">
        <v>1.6199999999999999E-2</v>
      </c>
      <c r="I196" s="2">
        <v>4.7000000000000002E-3</v>
      </c>
    </row>
    <row r="197" spans="1:9" x14ac:dyDescent="0.25">
      <c r="A197" s="3">
        <v>100</v>
      </c>
      <c r="B197" s="2">
        <v>0.49859999999999999</v>
      </c>
      <c r="C197" s="2">
        <v>7.4499999999999997E-2</v>
      </c>
      <c r="D197" s="2">
        <v>0.21540000000000001</v>
      </c>
      <c r="E197" s="2">
        <v>7.8100000000000003E-2</v>
      </c>
      <c r="F197" s="2">
        <v>0.26519999999999999</v>
      </c>
      <c r="G197" s="2">
        <v>6.08E-2</v>
      </c>
      <c r="H197" s="2">
        <v>2.0799999999999999E-2</v>
      </c>
      <c r="I197" s="2">
        <v>9.7000000000000003E-3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0.95289999999999997</v>
      </c>
      <c r="C201" s="2" t="s">
        <v>11</v>
      </c>
      <c r="D201" s="2">
        <v>3.7100000000000001E-2</v>
      </c>
      <c r="E201" s="2" t="s">
        <v>11</v>
      </c>
      <c r="F201" s="2">
        <v>9.4999999999999998E-3</v>
      </c>
      <c r="G201" s="2" t="s">
        <v>11</v>
      </c>
      <c r="H201" s="2">
        <v>5.0000000000000001E-4</v>
      </c>
      <c r="I201" s="2" t="s">
        <v>11</v>
      </c>
    </row>
    <row r="202" spans="1:9" x14ac:dyDescent="0.25">
      <c r="A202" s="3">
        <v>2</v>
      </c>
      <c r="B202" s="2">
        <v>0.14680000000000001</v>
      </c>
      <c r="C202" s="2" t="s">
        <v>11</v>
      </c>
      <c r="D202" s="2">
        <v>0.80230000000000001</v>
      </c>
      <c r="E202" s="2" t="s">
        <v>11</v>
      </c>
      <c r="F202" s="2">
        <v>5.0700000000000002E-2</v>
      </c>
      <c r="G202" s="2" t="s">
        <v>11</v>
      </c>
      <c r="H202" s="2">
        <v>2.0000000000000001E-4</v>
      </c>
      <c r="I202" s="2" t="s">
        <v>11</v>
      </c>
    </row>
    <row r="203" spans="1:9" x14ac:dyDescent="0.25">
      <c r="A203" s="3">
        <v>3</v>
      </c>
      <c r="B203" s="2">
        <v>3.8800000000000001E-2</v>
      </c>
      <c r="C203" s="2" t="s">
        <v>11</v>
      </c>
      <c r="D203" s="2">
        <v>5.2499999999999998E-2</v>
      </c>
      <c r="E203" s="2" t="s">
        <v>11</v>
      </c>
      <c r="F203" s="2">
        <v>0.90569999999999995</v>
      </c>
      <c r="G203" s="2" t="s">
        <v>11</v>
      </c>
      <c r="H203" s="2">
        <v>3.0000000000000001E-3</v>
      </c>
      <c r="I203" s="2" t="s">
        <v>11</v>
      </c>
    </row>
    <row r="204" spans="1:9" x14ac:dyDescent="0.25">
      <c r="A204" s="3">
        <v>4</v>
      </c>
      <c r="B204" s="2">
        <v>1.9400000000000001E-2</v>
      </c>
      <c r="C204" s="2" t="s">
        <v>11</v>
      </c>
      <c r="D204" s="2">
        <v>2E-3</v>
      </c>
      <c r="E204" s="2" t="s">
        <v>11</v>
      </c>
      <c r="F204" s="2">
        <v>2.9399999999999999E-2</v>
      </c>
      <c r="G204" s="2" t="s">
        <v>11</v>
      </c>
      <c r="H204" s="2">
        <v>0.94920000000000004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P204"/>
  <sheetViews>
    <sheetView workbookViewId="0"/>
  </sheetViews>
  <sheetFormatPr defaultColWidth="36.28515625" defaultRowHeight="15" x14ac:dyDescent="0.25"/>
  <sheetData>
    <row r="1" spans="1:6" ht="18.75" x14ac:dyDescent="0.25">
      <c r="A1" s="1" t="s">
        <v>175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13388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15.5337</v>
      </c>
      <c r="C7" s="2"/>
      <c r="D7" s="2"/>
      <c r="E7" s="2"/>
      <c r="F7" s="2"/>
    </row>
    <row r="8" spans="1:6" x14ac:dyDescent="0.25">
      <c r="A8" s="3" t="s">
        <v>4</v>
      </c>
      <c r="B8" s="2">
        <v>15.5337</v>
      </c>
      <c r="C8" s="2"/>
      <c r="D8" s="2"/>
      <c r="E8" s="2"/>
      <c r="F8" s="2"/>
    </row>
    <row r="9" spans="1:6" x14ac:dyDescent="0.25">
      <c r="A9" s="3" t="s">
        <v>5</v>
      </c>
      <c r="B9" s="2">
        <v>25369</v>
      </c>
      <c r="C9" s="2"/>
      <c r="D9" s="2"/>
      <c r="E9" s="2"/>
      <c r="F9" s="2"/>
    </row>
    <row r="10" spans="1:6" x14ac:dyDescent="0.25">
      <c r="A10" s="3" t="s">
        <v>6</v>
      </c>
      <c r="B10" s="2">
        <v>25369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-12460.373600000001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-12460.373600000001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24977.759900000001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24932.747200000002</v>
      </c>
      <c r="C29" s="2"/>
      <c r="D29" s="2"/>
      <c r="E29" s="2"/>
      <c r="F29" s="2"/>
    </row>
    <row r="30" spans="1:6" x14ac:dyDescent="0.25">
      <c r="A30" s="3" t="s">
        <v>26</v>
      </c>
      <c r="B30" s="2">
        <v>24938.747200000002</v>
      </c>
      <c r="C30" s="2"/>
      <c r="D30" s="2"/>
      <c r="E30" s="2"/>
      <c r="F30" s="2"/>
    </row>
    <row r="31" spans="1:6" x14ac:dyDescent="0.25">
      <c r="A31" s="3" t="s">
        <v>27</v>
      </c>
      <c r="B31" s="2">
        <v>24983.759900000001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24958.6924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0.34210000000000002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5.1000000000000004E-3</v>
      </c>
      <c r="C38" s="2"/>
      <c r="D38" s="2"/>
      <c r="E38" s="2"/>
      <c r="F38" s="2"/>
    </row>
    <row r="39" spans="1:6" x14ac:dyDescent="0.25">
      <c r="A39" s="3" t="s">
        <v>33</v>
      </c>
      <c r="B39" s="2">
        <v>5.0000000000000001E-3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-24904.794300000001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12444.420700000001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49809.588600000003</v>
      </c>
      <c r="C42" s="2"/>
      <c r="D42" s="2"/>
      <c r="E42" s="2"/>
      <c r="F42" s="2"/>
    </row>
    <row r="43" spans="1:6" x14ac:dyDescent="0.25">
      <c r="A43" s="3" t="s">
        <v>37</v>
      </c>
      <c r="B43" s="2">
        <v>49941.614000000001</v>
      </c>
      <c r="C43" s="2"/>
      <c r="D43" s="2"/>
      <c r="E43" s="2"/>
      <c r="F43" s="2"/>
    </row>
    <row r="44" spans="1:6" x14ac:dyDescent="0.25">
      <c r="A44" s="3" t="s">
        <v>38</v>
      </c>
      <c r="B44" s="2">
        <v>49866.601300000002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8807.6980999999996</v>
      </c>
      <c r="C48" s="2">
        <v>0</v>
      </c>
      <c r="D48" s="2">
        <v>0</v>
      </c>
      <c r="E48" s="2">
        <v>0</v>
      </c>
      <c r="F48" s="2">
        <v>8807.6980999999996</v>
      </c>
    </row>
    <row r="49" spans="1:6" x14ac:dyDescent="0.25">
      <c r="A49" s="3" t="s">
        <v>43</v>
      </c>
      <c r="B49" s="2">
        <v>2208.0003999999999</v>
      </c>
      <c r="C49" s="2">
        <v>0</v>
      </c>
      <c r="D49" s="2">
        <v>0</v>
      </c>
      <c r="E49" s="2">
        <v>0</v>
      </c>
      <c r="F49" s="2">
        <v>2208.0003999999999</v>
      </c>
    </row>
    <row r="50" spans="1:6" x14ac:dyDescent="0.25">
      <c r="A50" s="3" t="s">
        <v>44</v>
      </c>
      <c r="B50" s="2">
        <v>2151.1990999999998</v>
      </c>
      <c r="C50" s="2">
        <v>0</v>
      </c>
      <c r="D50" s="2">
        <v>0</v>
      </c>
      <c r="E50" s="2">
        <v>0</v>
      </c>
      <c r="F50" s="2">
        <v>2151.1990999999998</v>
      </c>
    </row>
    <row r="51" spans="1:6" x14ac:dyDescent="0.25">
      <c r="A51" s="3" t="s">
        <v>45</v>
      </c>
      <c r="B51" s="2">
        <v>221.10239999999999</v>
      </c>
      <c r="C51" s="2">
        <v>0</v>
      </c>
      <c r="D51" s="2">
        <v>0</v>
      </c>
      <c r="E51" s="2">
        <v>0</v>
      </c>
      <c r="F51" s="2">
        <v>221.10239999999999</v>
      </c>
    </row>
    <row r="52" spans="1:6" x14ac:dyDescent="0.25">
      <c r="A52" s="3" t="s">
        <v>46</v>
      </c>
      <c r="B52" s="2">
        <v>13388</v>
      </c>
      <c r="C52" s="2">
        <v>0</v>
      </c>
      <c r="D52" s="2">
        <v>0</v>
      </c>
      <c r="E52" s="2">
        <v>0</v>
      </c>
      <c r="F52" s="2">
        <v>13388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5818.4647999999997</v>
      </c>
      <c r="C56" s="2">
        <v>1438.2945</v>
      </c>
      <c r="D56" s="2">
        <v>1410.0882999999999</v>
      </c>
      <c r="E56" s="2">
        <v>140.85050000000001</v>
      </c>
      <c r="F56" s="2">
        <v>8807.6980999999996</v>
      </c>
    </row>
    <row r="57" spans="1:6" x14ac:dyDescent="0.25">
      <c r="A57" s="3" t="s">
        <v>43</v>
      </c>
      <c r="B57" s="2">
        <v>1438.2945</v>
      </c>
      <c r="C57" s="2">
        <v>372.65839999999997</v>
      </c>
      <c r="D57" s="2">
        <v>357.84210000000002</v>
      </c>
      <c r="E57" s="2">
        <v>39.205399999999997</v>
      </c>
      <c r="F57" s="2">
        <v>2208.0003999999999</v>
      </c>
    </row>
    <row r="58" spans="1:6" x14ac:dyDescent="0.25">
      <c r="A58" s="3" t="s">
        <v>44</v>
      </c>
      <c r="B58" s="2">
        <v>1410.0882999999999</v>
      </c>
      <c r="C58" s="2">
        <v>357.84210000000002</v>
      </c>
      <c r="D58" s="2">
        <v>346.75650000000002</v>
      </c>
      <c r="E58" s="2">
        <v>36.5122</v>
      </c>
      <c r="F58" s="2">
        <v>2151.1990999999998</v>
      </c>
    </row>
    <row r="59" spans="1:6" x14ac:dyDescent="0.25">
      <c r="A59" s="3" t="s">
        <v>45</v>
      </c>
      <c r="B59" s="2">
        <v>140.85050000000001</v>
      </c>
      <c r="C59" s="2">
        <v>39.205399999999997</v>
      </c>
      <c r="D59" s="2">
        <v>36.5122</v>
      </c>
      <c r="E59" s="2">
        <v>4.5343</v>
      </c>
      <c r="F59" s="2">
        <v>221.10239999999999</v>
      </c>
    </row>
    <row r="60" spans="1:6" x14ac:dyDescent="0.25">
      <c r="A60" s="3" t="s">
        <v>46</v>
      </c>
      <c r="B60" s="2">
        <v>8807.6980999999996</v>
      </c>
      <c r="C60" s="2">
        <v>2208.0003999999999</v>
      </c>
      <c r="D60" s="2">
        <v>2151.1990999999998</v>
      </c>
      <c r="E60" s="2">
        <v>221.10239999999999</v>
      </c>
      <c r="F60" s="2">
        <v>13388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0.34210000000000002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5.1000000000000004E-3</v>
      </c>
      <c r="C65" s="2"/>
      <c r="D65" s="2"/>
      <c r="E65" s="2"/>
      <c r="F65" s="2"/>
    </row>
    <row r="66" spans="1:6" x14ac:dyDescent="0.25">
      <c r="A66" s="3" t="s">
        <v>33</v>
      </c>
      <c r="B66" s="2">
        <v>5.0000000000000001E-3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25369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13388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176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1.327</v>
      </c>
      <c r="C148" s="2">
        <v>0.1348</v>
      </c>
      <c r="D148" s="2">
        <v>9.8440999999999992</v>
      </c>
      <c r="E148" s="2">
        <v>0.28960000000000002</v>
      </c>
      <c r="F148" s="2">
        <v>0.18490000000000001</v>
      </c>
      <c r="G148" s="2">
        <v>1.5660000000000001</v>
      </c>
      <c r="H148" s="2">
        <v>0.14299999999999999</v>
      </c>
      <c r="I148" s="2">
        <v>0.17330000000000001</v>
      </c>
      <c r="J148" s="2">
        <v>0.82550000000000001</v>
      </c>
      <c r="K148" s="2">
        <v>-1.7595000000000001</v>
      </c>
      <c r="L148" s="2">
        <v>0.24779999999999999</v>
      </c>
      <c r="M148" s="2">
        <v>-7.0997000000000003</v>
      </c>
      <c r="N148" s="2">
        <v>107.0551</v>
      </c>
      <c r="O148" s="4">
        <v>4.7000000000000001E-23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176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0.3528</v>
      </c>
      <c r="C152" s="2">
        <v>0.1351</v>
      </c>
      <c r="D152" s="2">
        <v>2.6110000000000002</v>
      </c>
      <c r="E152" s="2">
        <v>-5.0299999999999997E-2</v>
      </c>
      <c r="F152" s="2">
        <v>0.18379999999999999</v>
      </c>
      <c r="G152" s="2">
        <v>-0.27379999999999999</v>
      </c>
      <c r="H152" s="2">
        <v>9.5899999999999999E-2</v>
      </c>
      <c r="I152" s="2">
        <v>0.17150000000000001</v>
      </c>
      <c r="J152" s="2">
        <v>0.55879999999999996</v>
      </c>
      <c r="K152" s="2">
        <v>-0.39829999999999999</v>
      </c>
      <c r="L152" s="2">
        <v>0.2465</v>
      </c>
      <c r="M152" s="2">
        <v>-1.6157999999999999</v>
      </c>
      <c r="N152" s="2">
        <v>7.0484999999999998</v>
      </c>
      <c r="O152" s="2">
        <v>7.0000000000000007E-2</v>
      </c>
      <c r="P152" s="2"/>
    </row>
    <row r="153" spans="1:16" x14ac:dyDescent="0.25">
      <c r="A153" s="3">
        <v>100</v>
      </c>
      <c r="B153" s="2">
        <v>-0.3528</v>
      </c>
      <c r="C153" s="2">
        <v>0.1351</v>
      </c>
      <c r="D153" s="2">
        <v>-2.6110000000000002</v>
      </c>
      <c r="E153" s="2">
        <v>5.0299999999999997E-2</v>
      </c>
      <c r="F153" s="2">
        <v>0.18379999999999999</v>
      </c>
      <c r="G153" s="2">
        <v>0.27379999999999999</v>
      </c>
      <c r="H153" s="2">
        <v>-9.5899999999999999E-2</v>
      </c>
      <c r="I153" s="2">
        <v>0.17150000000000001</v>
      </c>
      <c r="J153" s="2">
        <v>-0.55879999999999996</v>
      </c>
      <c r="K153" s="2">
        <v>0.39829999999999999</v>
      </c>
      <c r="L153" s="2">
        <v>0.2465</v>
      </c>
      <c r="M153" s="2">
        <v>1.6157999999999999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18.1082</v>
      </c>
      <c r="E160" s="2">
        <v>1</v>
      </c>
      <c r="F160" s="4">
        <v>2.0999999999999999E-5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30.650400000000001</v>
      </c>
      <c r="E161" s="2">
        <v>1</v>
      </c>
      <c r="F161" s="4">
        <v>3.1E-8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85.579099999999997</v>
      </c>
      <c r="E162" s="2">
        <v>1</v>
      </c>
      <c r="F162" s="4">
        <v>2.1999999999999999E-20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0.2666</v>
      </c>
      <c r="E163" s="2">
        <v>1</v>
      </c>
      <c r="F163" s="2">
        <v>0.61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29.867899999999999</v>
      </c>
      <c r="E164" s="2">
        <v>1</v>
      </c>
      <c r="F164" s="4">
        <v>4.6000000000000002E-8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26.309000000000001</v>
      </c>
      <c r="E165" s="2">
        <v>1</v>
      </c>
      <c r="F165" s="4">
        <v>2.8999999999999998E-7</v>
      </c>
    </row>
    <row r="166" spans="1:9" x14ac:dyDescent="0.25">
      <c r="A166" s="3" t="s">
        <v>176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2.7399</v>
      </c>
      <c r="E167" s="2">
        <v>1</v>
      </c>
      <c r="F167" s="2">
        <v>9.8000000000000004E-2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1.4567000000000001</v>
      </c>
      <c r="E168" s="2">
        <v>1</v>
      </c>
      <c r="F168" s="2">
        <v>0.23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5.0999999999999996</v>
      </c>
      <c r="E169" s="2">
        <v>1</v>
      </c>
      <c r="F169" s="2">
        <v>2.4E-2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0.27060000000000001</v>
      </c>
      <c r="E170" s="2">
        <v>1</v>
      </c>
      <c r="F170" s="2">
        <v>0.6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0.87080000000000002</v>
      </c>
      <c r="E171" s="2">
        <v>1</v>
      </c>
      <c r="F171" s="2">
        <v>0.35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1.8007</v>
      </c>
      <c r="E172" s="2">
        <v>1</v>
      </c>
      <c r="F172" s="2">
        <v>0.18</v>
      </c>
    </row>
    <row r="174" spans="1:9" ht="18.75" x14ac:dyDescent="0.25">
      <c r="A174" s="1" t="s">
        <v>111</v>
      </c>
    </row>
    <row r="176" spans="1:9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0.65790000000000004</v>
      </c>
      <c r="C177" s="2">
        <v>1.8800000000000001E-2</v>
      </c>
      <c r="D177" s="2">
        <v>0.16489999999999999</v>
      </c>
      <c r="E177" s="2">
        <v>1.6E-2</v>
      </c>
      <c r="F177" s="2">
        <v>0.16070000000000001</v>
      </c>
      <c r="G177" s="2">
        <v>1.4E-2</v>
      </c>
      <c r="H177" s="2">
        <v>1.6500000000000001E-2</v>
      </c>
      <c r="I177" s="2">
        <v>4.4999999999999997E-3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176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0.95269999999999999</v>
      </c>
      <c r="C180" s="2" t="s">
        <v>11</v>
      </c>
      <c r="D180" s="2">
        <v>0.89990000000000003</v>
      </c>
      <c r="E180" s="2" t="s">
        <v>11</v>
      </c>
      <c r="F180" s="2">
        <v>0.92330000000000001</v>
      </c>
      <c r="G180" s="2" t="s">
        <v>11</v>
      </c>
      <c r="H180" s="2">
        <v>0.81759999999999999</v>
      </c>
      <c r="I180" s="2" t="s">
        <v>11</v>
      </c>
    </row>
    <row r="181" spans="1:9" x14ac:dyDescent="0.25">
      <c r="A181" s="3">
        <v>100</v>
      </c>
      <c r="B181" s="2">
        <v>4.7300000000000002E-2</v>
      </c>
      <c r="C181" s="2" t="s">
        <v>11</v>
      </c>
      <c r="D181" s="2">
        <v>0.10009999999999999</v>
      </c>
      <c r="E181" s="2" t="s">
        <v>11</v>
      </c>
      <c r="F181" s="2">
        <v>7.6700000000000004E-2</v>
      </c>
      <c r="G181" s="2" t="s">
        <v>11</v>
      </c>
      <c r="H181" s="2">
        <v>0.18240000000000001</v>
      </c>
      <c r="I181" s="2" t="s">
        <v>11</v>
      </c>
    </row>
    <row r="183" spans="1:9" ht="18.75" x14ac:dyDescent="0.25">
      <c r="A183" s="1" t="s">
        <v>113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0.65790000000000004</v>
      </c>
      <c r="C186" s="2">
        <v>0.16489999999999999</v>
      </c>
      <c r="D186" s="2">
        <v>0.16070000000000001</v>
      </c>
      <c r="E186" s="2">
        <v>1.6500000000000001E-2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176</v>
      </c>
      <c r="B188" s="2"/>
      <c r="C188" s="2"/>
      <c r="D188" s="2"/>
      <c r="E188" s="2"/>
    </row>
    <row r="189" spans="1:9" x14ac:dyDescent="0.25">
      <c r="A189" s="3">
        <v>0</v>
      </c>
      <c r="B189" s="2">
        <v>0.66890000000000005</v>
      </c>
      <c r="C189" s="2">
        <v>0.15840000000000001</v>
      </c>
      <c r="D189" s="2">
        <v>0.1583</v>
      </c>
      <c r="E189" s="2">
        <v>1.44E-2</v>
      </c>
    </row>
    <row r="190" spans="1:9" x14ac:dyDescent="0.25">
      <c r="A190" s="3">
        <v>100</v>
      </c>
      <c r="B190" s="2">
        <v>0.49440000000000001</v>
      </c>
      <c r="C190" s="2">
        <v>0.26219999999999999</v>
      </c>
      <c r="D190" s="2">
        <v>0.1956</v>
      </c>
      <c r="E190" s="2">
        <v>4.7800000000000002E-2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176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>
        <v>0</v>
      </c>
      <c r="B196" s="2">
        <v>0.66890000000000005</v>
      </c>
      <c r="C196" s="2">
        <v>1.9300000000000001E-2</v>
      </c>
      <c r="D196" s="2">
        <v>0.15840000000000001</v>
      </c>
      <c r="E196" s="2">
        <v>1.6E-2</v>
      </c>
      <c r="F196" s="2">
        <v>0.1583</v>
      </c>
      <c r="G196" s="2">
        <v>1.43E-2</v>
      </c>
      <c r="H196" s="2">
        <v>1.44E-2</v>
      </c>
      <c r="I196" s="2">
        <v>4.4000000000000003E-3</v>
      </c>
    </row>
    <row r="197" spans="1:9" x14ac:dyDescent="0.25">
      <c r="A197" s="3">
        <v>100</v>
      </c>
      <c r="B197" s="2">
        <v>0.49440000000000001</v>
      </c>
      <c r="C197" s="2">
        <v>8.5199999999999998E-2</v>
      </c>
      <c r="D197" s="2">
        <v>0.26219999999999999</v>
      </c>
      <c r="E197" s="2">
        <v>8.7400000000000005E-2</v>
      </c>
      <c r="F197" s="2">
        <v>0.1956</v>
      </c>
      <c r="G197" s="2">
        <v>6.3299999999999995E-2</v>
      </c>
      <c r="H197" s="2">
        <v>4.7800000000000002E-2</v>
      </c>
      <c r="I197" s="2">
        <v>2.6100000000000002E-2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0.95289999999999997</v>
      </c>
      <c r="C201" s="2" t="s">
        <v>11</v>
      </c>
      <c r="D201" s="2">
        <v>3.7100000000000001E-2</v>
      </c>
      <c r="E201" s="2" t="s">
        <v>11</v>
      </c>
      <c r="F201" s="2">
        <v>9.4999999999999998E-3</v>
      </c>
      <c r="G201" s="2" t="s">
        <v>11</v>
      </c>
      <c r="H201" s="2">
        <v>5.0000000000000001E-4</v>
      </c>
      <c r="I201" s="2" t="s">
        <v>11</v>
      </c>
    </row>
    <row r="202" spans="1:9" x14ac:dyDescent="0.25">
      <c r="A202" s="3">
        <v>2</v>
      </c>
      <c r="B202" s="2">
        <v>0.14810000000000001</v>
      </c>
      <c r="C202" s="2" t="s">
        <v>11</v>
      </c>
      <c r="D202" s="2">
        <v>0.80149999999999999</v>
      </c>
      <c r="E202" s="2" t="s">
        <v>11</v>
      </c>
      <c r="F202" s="2">
        <v>5.0200000000000002E-2</v>
      </c>
      <c r="G202" s="2" t="s">
        <v>11</v>
      </c>
      <c r="H202" s="2">
        <v>2.0000000000000001E-4</v>
      </c>
      <c r="I202" s="2" t="s">
        <v>11</v>
      </c>
    </row>
    <row r="203" spans="1:9" x14ac:dyDescent="0.25">
      <c r="A203" s="3">
        <v>3</v>
      </c>
      <c r="B203" s="2">
        <v>3.8800000000000001E-2</v>
      </c>
      <c r="C203" s="2" t="s">
        <v>11</v>
      </c>
      <c r="D203" s="2">
        <v>5.16E-2</v>
      </c>
      <c r="E203" s="2" t="s">
        <v>11</v>
      </c>
      <c r="F203" s="2">
        <v>0.90659999999999996</v>
      </c>
      <c r="G203" s="2" t="s">
        <v>11</v>
      </c>
      <c r="H203" s="2">
        <v>3.0000000000000001E-3</v>
      </c>
      <c r="I203" s="2" t="s">
        <v>11</v>
      </c>
    </row>
    <row r="204" spans="1:9" x14ac:dyDescent="0.25">
      <c r="A204" s="3">
        <v>4</v>
      </c>
      <c r="B204" s="2">
        <v>1.9400000000000001E-2</v>
      </c>
      <c r="C204" s="2" t="s">
        <v>11</v>
      </c>
      <c r="D204" s="2">
        <v>2E-3</v>
      </c>
      <c r="E204" s="2" t="s">
        <v>11</v>
      </c>
      <c r="F204" s="2">
        <v>2.9399999999999999E-2</v>
      </c>
      <c r="G204" s="2" t="s">
        <v>11</v>
      </c>
      <c r="H204" s="2">
        <v>0.94920000000000004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P314"/>
  <sheetViews>
    <sheetView workbookViewId="0">
      <selection activeCell="O170" sqref="O170"/>
    </sheetView>
  </sheetViews>
  <sheetFormatPr defaultColWidth="36.28515625" defaultRowHeight="15" x14ac:dyDescent="0.25"/>
  <cols>
    <col min="1" max="1" width="35.425781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140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37.5" x14ac:dyDescent="0.25">
      <c r="A1" s="1" t="s">
        <v>202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12808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15.334099999999999</v>
      </c>
      <c r="C7" s="2"/>
      <c r="D7" s="2"/>
      <c r="E7" s="2"/>
      <c r="F7" s="2"/>
    </row>
    <row r="8" spans="1:6" x14ac:dyDescent="0.25">
      <c r="A8" s="3" t="s">
        <v>4</v>
      </c>
      <c r="B8" s="2">
        <v>15.334099999999999</v>
      </c>
      <c r="C8" s="2"/>
      <c r="D8" s="2"/>
      <c r="E8" s="2"/>
      <c r="F8" s="2"/>
    </row>
    <row r="9" spans="1:6" x14ac:dyDescent="0.25">
      <c r="A9" s="3" t="s">
        <v>5</v>
      </c>
      <c r="B9" s="2">
        <v>467942</v>
      </c>
      <c r="C9" s="2"/>
      <c r="D9" s="2"/>
      <c r="E9" s="2"/>
      <c r="F9" s="2"/>
    </row>
    <row r="10" spans="1:6" x14ac:dyDescent="0.25">
      <c r="A10" s="3" t="s">
        <v>6</v>
      </c>
      <c r="B10" s="2">
        <v>467942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264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1568.8298</v>
      </c>
      <c r="C14" s="4">
        <v>4.7000000000000002E-184</v>
      </c>
      <c r="D14" s="2"/>
      <c r="E14" s="2"/>
      <c r="F14" s="2"/>
    </row>
    <row r="15" spans="1:6" x14ac:dyDescent="0.25">
      <c r="A15" s="3" t="s">
        <v>12</v>
      </c>
      <c r="B15" s="2">
        <v>2047.7136</v>
      </c>
      <c r="C15" s="4">
        <v>6.5999999999999998E-273</v>
      </c>
      <c r="D15" s="2"/>
      <c r="E15" s="2"/>
      <c r="F15" s="2"/>
    </row>
    <row r="16" spans="1:6" x14ac:dyDescent="0.25">
      <c r="A16" s="3" t="s">
        <v>13</v>
      </c>
      <c r="B16" s="2">
        <v>1749.0246999999999</v>
      </c>
      <c r="C16" s="4">
        <v>5.1999999999999999E-217</v>
      </c>
      <c r="D16" s="2"/>
      <c r="E16" s="2"/>
      <c r="F16" s="2"/>
    </row>
    <row r="17" spans="1:6" x14ac:dyDescent="0.25">
      <c r="A17" s="3" t="s">
        <v>14</v>
      </c>
      <c r="B17" s="2">
        <v>-928.03599999999994</v>
      </c>
      <c r="C17" s="2"/>
      <c r="D17" s="2"/>
      <c r="E17" s="2"/>
      <c r="F17" s="2"/>
    </row>
    <row r="18" spans="1:6" x14ac:dyDescent="0.25">
      <c r="A18" s="3" t="s">
        <v>15</v>
      </c>
      <c r="B18" s="2">
        <v>1040.8298</v>
      </c>
      <c r="C18" s="2"/>
      <c r="D18" s="2"/>
      <c r="E18" s="2"/>
      <c r="F18" s="2"/>
    </row>
    <row r="19" spans="1:6" x14ac:dyDescent="0.25">
      <c r="A19" s="3" t="s">
        <v>16</v>
      </c>
      <c r="B19" s="2">
        <v>776.82979999999998</v>
      </c>
      <c r="C19" s="2"/>
      <c r="D19" s="2"/>
      <c r="E19" s="2"/>
      <c r="F19" s="2"/>
    </row>
    <row r="20" spans="1:6" x14ac:dyDescent="0.25">
      <c r="A20" s="3" t="s">
        <v>17</v>
      </c>
      <c r="B20" s="2">
        <v>-1192.0360000000001</v>
      </c>
      <c r="C20" s="2"/>
      <c r="D20" s="2"/>
      <c r="E20" s="2"/>
      <c r="F20" s="2"/>
    </row>
    <row r="21" spans="1:6" x14ac:dyDescent="0.25">
      <c r="A21" s="3" t="s">
        <v>18</v>
      </c>
      <c r="B21" s="2">
        <v>-89.070999999999998</v>
      </c>
      <c r="C21" s="2"/>
      <c r="D21" s="2"/>
      <c r="E21" s="2"/>
      <c r="F21" s="2"/>
    </row>
    <row r="22" spans="1:6" x14ac:dyDescent="0.25">
      <c r="A22" s="3" t="s">
        <v>19</v>
      </c>
      <c r="B22" s="2">
        <v>8.09E-2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-11876.0267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-11876.0267</v>
      </c>
      <c r="C27" s="2"/>
      <c r="D27" s="2"/>
      <c r="E27" s="2"/>
      <c r="F27" s="2"/>
    </row>
    <row r="28" spans="1:6" x14ac:dyDescent="0.25">
      <c r="A28" s="3" t="s">
        <v>24</v>
      </c>
      <c r="B28" s="2">
        <v>23808.8004</v>
      </c>
      <c r="C28" s="2"/>
      <c r="D28" s="2"/>
      <c r="E28" s="2"/>
      <c r="F28" s="2"/>
    </row>
    <row r="29" spans="1:6" x14ac:dyDescent="0.25">
      <c r="A29" s="3" t="s">
        <v>25</v>
      </c>
      <c r="B29" s="2">
        <v>23764.053500000002</v>
      </c>
      <c r="C29" s="2"/>
      <c r="D29" s="2"/>
      <c r="E29" s="2"/>
      <c r="F29" s="2"/>
    </row>
    <row r="30" spans="1:6" x14ac:dyDescent="0.25">
      <c r="A30" s="3" t="s">
        <v>26</v>
      </c>
      <c r="B30" s="2">
        <v>23770.053500000002</v>
      </c>
      <c r="C30" s="2"/>
      <c r="D30" s="2"/>
      <c r="E30" s="2"/>
      <c r="F30" s="2"/>
    </row>
    <row r="31" spans="1:6" x14ac:dyDescent="0.25">
      <c r="A31" s="3" t="s">
        <v>27</v>
      </c>
      <c r="B31" s="2">
        <v>23814.8004</v>
      </c>
      <c r="C31" s="2"/>
      <c r="D31" s="2"/>
      <c r="E31" s="2"/>
      <c r="F31" s="2"/>
    </row>
    <row r="32" spans="1:6" x14ac:dyDescent="0.25">
      <c r="A32" s="3" t="s">
        <v>28</v>
      </c>
      <c r="B32" s="2">
        <v>23789.733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0.33860000000000001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8.9999999999999998E-4</v>
      </c>
      <c r="C38" s="2"/>
      <c r="D38" s="2"/>
      <c r="E38" s="2"/>
      <c r="F38" s="2"/>
    </row>
    <row r="39" spans="1:6" x14ac:dyDescent="0.25">
      <c r="A39" s="3" t="s">
        <v>33</v>
      </c>
      <c r="B39" s="2">
        <v>8.0000000000000004E-4</v>
      </c>
      <c r="C39" s="2"/>
      <c r="D39" s="2"/>
      <c r="E39" s="2"/>
      <c r="F39" s="2"/>
    </row>
    <row r="40" spans="1:6" x14ac:dyDescent="0.25">
      <c r="A40" s="3" t="s">
        <v>34</v>
      </c>
      <c r="B40" s="2">
        <v>-23748.6823</v>
      </c>
      <c r="C40" s="2"/>
      <c r="D40" s="2"/>
      <c r="E40" s="2"/>
      <c r="F40" s="2"/>
    </row>
    <row r="41" spans="1:6" x14ac:dyDescent="0.25">
      <c r="A41" s="3" t="s">
        <v>35</v>
      </c>
      <c r="B41" s="2">
        <v>11872.655500000001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47497.364500000003</v>
      </c>
      <c r="C42" s="2"/>
      <c r="D42" s="2"/>
      <c r="E42" s="2"/>
      <c r="F42" s="2"/>
    </row>
    <row r="43" spans="1:6" x14ac:dyDescent="0.25">
      <c r="A43" s="3" t="s">
        <v>37</v>
      </c>
      <c r="B43" s="2">
        <v>47628.858399999997</v>
      </c>
      <c r="C43" s="2"/>
      <c r="D43" s="2"/>
      <c r="E43" s="2"/>
      <c r="F43" s="2"/>
    </row>
    <row r="44" spans="1:6" x14ac:dyDescent="0.25">
      <c r="A44" s="3" t="s">
        <v>38</v>
      </c>
      <c r="B44" s="2">
        <v>47554.111499999999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8471.7204999999994</v>
      </c>
      <c r="C48" s="2">
        <v>0</v>
      </c>
      <c r="D48" s="2">
        <v>0</v>
      </c>
      <c r="E48" s="2">
        <v>0</v>
      </c>
      <c r="F48" s="2">
        <v>8471.7204999999994</v>
      </c>
    </row>
    <row r="49" spans="1:6" x14ac:dyDescent="0.25">
      <c r="A49" s="3" t="s">
        <v>43</v>
      </c>
      <c r="B49" s="2">
        <v>2144.8393000000001</v>
      </c>
      <c r="C49" s="2">
        <v>0</v>
      </c>
      <c r="D49" s="2">
        <v>0</v>
      </c>
      <c r="E49" s="2">
        <v>0</v>
      </c>
      <c r="F49" s="2">
        <v>2144.8393000000001</v>
      </c>
    </row>
    <row r="50" spans="1:6" x14ac:dyDescent="0.25">
      <c r="A50" s="3" t="s">
        <v>44</v>
      </c>
      <c r="B50" s="2">
        <v>1986.7407000000001</v>
      </c>
      <c r="C50" s="2">
        <v>0</v>
      </c>
      <c r="D50" s="2">
        <v>0</v>
      </c>
      <c r="E50" s="2">
        <v>0</v>
      </c>
      <c r="F50" s="2">
        <v>1986.7407000000001</v>
      </c>
    </row>
    <row r="51" spans="1:6" x14ac:dyDescent="0.25">
      <c r="A51" s="3" t="s">
        <v>45</v>
      </c>
      <c r="B51" s="2">
        <v>204.6995</v>
      </c>
      <c r="C51" s="2">
        <v>0</v>
      </c>
      <c r="D51" s="2">
        <v>0</v>
      </c>
      <c r="E51" s="2">
        <v>0</v>
      </c>
      <c r="F51" s="2">
        <v>204.6995</v>
      </c>
    </row>
    <row r="52" spans="1:6" x14ac:dyDescent="0.25">
      <c r="A52" s="3" t="s">
        <v>46</v>
      </c>
      <c r="B52" s="2">
        <v>12808</v>
      </c>
      <c r="C52" s="2">
        <v>0</v>
      </c>
      <c r="D52" s="2">
        <v>0</v>
      </c>
      <c r="E52" s="2">
        <v>0</v>
      </c>
      <c r="F52" s="2">
        <v>12808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5607.1941999999999</v>
      </c>
      <c r="C56" s="2">
        <v>1416.296</v>
      </c>
      <c r="D56" s="2">
        <v>1313.4096999999999</v>
      </c>
      <c r="E56" s="2">
        <v>134.82060000000001</v>
      </c>
      <c r="F56" s="2">
        <v>8471.7204999999994</v>
      </c>
    </row>
    <row r="57" spans="1:6" x14ac:dyDescent="0.25">
      <c r="A57" s="3" t="s">
        <v>43</v>
      </c>
      <c r="B57" s="2">
        <v>1416.296</v>
      </c>
      <c r="C57" s="2">
        <v>360.73169999999999</v>
      </c>
      <c r="D57" s="2">
        <v>333.15730000000002</v>
      </c>
      <c r="E57" s="2">
        <v>34.654400000000003</v>
      </c>
      <c r="F57" s="2">
        <v>2144.8393000000001</v>
      </c>
    </row>
    <row r="58" spans="1:6" x14ac:dyDescent="0.25">
      <c r="A58" s="3" t="s">
        <v>44</v>
      </c>
      <c r="B58" s="2">
        <v>1313.4096999999999</v>
      </c>
      <c r="C58" s="2">
        <v>333.15730000000002</v>
      </c>
      <c r="D58" s="2">
        <v>308.3116</v>
      </c>
      <c r="E58" s="2">
        <v>31.862100000000002</v>
      </c>
      <c r="F58" s="2">
        <v>1986.7407000000001</v>
      </c>
    </row>
    <row r="59" spans="1:6" x14ac:dyDescent="0.25">
      <c r="A59" s="3" t="s">
        <v>45</v>
      </c>
      <c r="B59" s="2">
        <v>134.82060000000001</v>
      </c>
      <c r="C59" s="2">
        <v>34.654400000000003</v>
      </c>
      <c r="D59" s="2">
        <v>31.862100000000002</v>
      </c>
      <c r="E59" s="2">
        <v>3.3624000000000001</v>
      </c>
      <c r="F59" s="2">
        <v>204.6995</v>
      </c>
    </row>
    <row r="60" spans="1:6" x14ac:dyDescent="0.25">
      <c r="A60" s="3" t="s">
        <v>46</v>
      </c>
      <c r="B60" s="2">
        <v>8471.7204999999994</v>
      </c>
      <c r="C60" s="2">
        <v>2144.8393000000001</v>
      </c>
      <c r="D60" s="2">
        <v>1986.7407000000001</v>
      </c>
      <c r="E60" s="2">
        <v>204.6995</v>
      </c>
      <c r="F60" s="2">
        <v>12808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0.33860000000000001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8.9999999999999998E-4</v>
      </c>
      <c r="C65" s="2"/>
      <c r="D65" s="2"/>
      <c r="E65" s="2"/>
      <c r="F65" s="2"/>
    </row>
    <row r="66" spans="1:6" x14ac:dyDescent="0.25">
      <c r="A66" s="3" t="s">
        <v>33</v>
      </c>
      <c r="B66" s="2">
        <v>8.0000000000000004E-4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467942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12808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682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682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682</v>
      </c>
      <c r="D121" s="2"/>
      <c r="E121" s="2"/>
      <c r="F121" s="2"/>
    </row>
    <row r="122" spans="1:6" x14ac:dyDescent="0.25">
      <c r="A122" s="5">
        <v>4.1029999999999998E-12</v>
      </c>
      <c r="B122" s="4">
        <v>4.1030068999999997E-12</v>
      </c>
      <c r="C122" s="2"/>
      <c r="D122" s="2"/>
      <c r="E122" s="2"/>
      <c r="F122" s="2"/>
    </row>
    <row r="123" spans="1:6" x14ac:dyDescent="0.25">
      <c r="A123" s="5">
        <v>9.6690000000000001E-12</v>
      </c>
      <c r="B123" s="4">
        <v>9.6686613000000001E-12</v>
      </c>
      <c r="C123" s="2"/>
      <c r="D123" s="2"/>
      <c r="E123" s="2"/>
      <c r="F123" s="2"/>
    </row>
    <row r="124" spans="1:6" x14ac:dyDescent="0.25">
      <c r="A124" s="5">
        <v>9.7710000000000007E-10</v>
      </c>
      <c r="B124" s="4">
        <v>9.7709966E-10</v>
      </c>
      <c r="C124" s="2"/>
      <c r="D124" s="2"/>
      <c r="E124" s="2"/>
      <c r="F124" s="2"/>
    </row>
    <row r="125" spans="1:6" x14ac:dyDescent="0.25">
      <c r="A125" s="5">
        <v>9.7920000000000009E-10</v>
      </c>
      <c r="B125" s="4">
        <v>9.7918018999999994E-10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682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203</v>
      </c>
      <c r="B140" s="2" t="s">
        <v>127</v>
      </c>
      <c r="C140" s="2">
        <v>90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1</v>
      </c>
      <c r="B142" s="2">
        <v>1</v>
      </c>
      <c r="C142" s="2">
        <v>1</v>
      </c>
      <c r="D142" s="2"/>
      <c r="E142" s="2"/>
      <c r="F142" s="2"/>
    </row>
    <row r="143" spans="1:6" x14ac:dyDescent="0.25">
      <c r="A143" s="3">
        <v>2</v>
      </c>
      <c r="B143" s="2">
        <v>2</v>
      </c>
      <c r="C143" s="2">
        <v>2</v>
      </c>
      <c r="D143" s="2"/>
      <c r="E143" s="2"/>
      <c r="F143" s="2"/>
    </row>
    <row r="144" spans="1:6" x14ac:dyDescent="0.25">
      <c r="A144" s="3">
        <v>3</v>
      </c>
      <c r="B144" s="2">
        <v>3</v>
      </c>
      <c r="C144" s="2">
        <v>3</v>
      </c>
      <c r="D144" s="2"/>
      <c r="E144" s="2"/>
      <c r="F144" s="2"/>
    </row>
    <row r="145" spans="1:6" x14ac:dyDescent="0.25">
      <c r="A145" s="3">
        <v>4</v>
      </c>
      <c r="B145" s="2">
        <v>4</v>
      </c>
      <c r="C145" s="2">
        <v>4</v>
      </c>
      <c r="D145" s="2"/>
      <c r="E145" s="2"/>
      <c r="F145" s="2"/>
    </row>
    <row r="146" spans="1:6" x14ac:dyDescent="0.25">
      <c r="A146" s="3">
        <v>5</v>
      </c>
      <c r="B146" s="2">
        <v>5</v>
      </c>
      <c r="C146" s="2">
        <v>5</v>
      </c>
      <c r="D146" s="2"/>
      <c r="E146" s="2"/>
      <c r="F146" s="2"/>
    </row>
    <row r="147" spans="1:6" x14ac:dyDescent="0.25">
      <c r="A147" s="3">
        <v>6</v>
      </c>
      <c r="B147" s="2">
        <v>6</v>
      </c>
      <c r="C147" s="2">
        <v>6</v>
      </c>
      <c r="D147" s="2"/>
      <c r="E147" s="2"/>
      <c r="F147" s="2"/>
    </row>
    <row r="148" spans="1:6" x14ac:dyDescent="0.25">
      <c r="A148" s="3">
        <v>7</v>
      </c>
      <c r="B148" s="2">
        <v>7</v>
      </c>
      <c r="C148" s="2">
        <v>7</v>
      </c>
      <c r="D148" s="2"/>
      <c r="E148" s="2"/>
      <c r="F148" s="2"/>
    </row>
    <row r="149" spans="1:6" x14ac:dyDescent="0.25">
      <c r="A149" s="3">
        <v>8</v>
      </c>
      <c r="B149" s="2">
        <v>8</v>
      </c>
      <c r="C149" s="2">
        <v>8</v>
      </c>
      <c r="D149" s="2"/>
      <c r="E149" s="2"/>
      <c r="F149" s="2"/>
    </row>
    <row r="150" spans="1:6" x14ac:dyDescent="0.25">
      <c r="A150" s="3">
        <v>9</v>
      </c>
      <c r="B150" s="2">
        <v>9</v>
      </c>
      <c r="C150" s="2">
        <v>9</v>
      </c>
      <c r="D150" s="2"/>
      <c r="E150" s="2"/>
      <c r="F150" s="2"/>
    </row>
    <row r="151" spans="1:6" x14ac:dyDescent="0.25">
      <c r="A151" s="3" t="s">
        <v>89</v>
      </c>
      <c r="B151" s="2"/>
      <c r="C151" s="2"/>
      <c r="D151" s="2"/>
      <c r="E151" s="2"/>
      <c r="F151" s="2"/>
    </row>
    <row r="152" spans="1:6" x14ac:dyDescent="0.25">
      <c r="A152" s="3">
        <v>88</v>
      </c>
      <c r="B152" s="2">
        <v>88</v>
      </c>
      <c r="C152" s="2">
        <v>88</v>
      </c>
      <c r="D152" s="2"/>
      <c r="E152" s="2"/>
      <c r="F152" s="2"/>
    </row>
    <row r="153" spans="1:6" x14ac:dyDescent="0.25">
      <c r="A153" s="3">
        <v>90</v>
      </c>
      <c r="B153" s="2">
        <v>90</v>
      </c>
      <c r="C153" s="2">
        <v>90</v>
      </c>
      <c r="D153" s="2"/>
      <c r="E153" s="2"/>
      <c r="F153" s="2"/>
    </row>
    <row r="154" spans="1:6" x14ac:dyDescent="0.25">
      <c r="A154" s="3">
        <v>91</v>
      </c>
      <c r="B154" s="2">
        <v>91</v>
      </c>
      <c r="C154" s="2">
        <v>91</v>
      </c>
      <c r="D154" s="2"/>
      <c r="E154" s="2"/>
      <c r="F154" s="2"/>
    </row>
    <row r="155" spans="1:6" x14ac:dyDescent="0.25">
      <c r="A155" s="3">
        <v>95</v>
      </c>
      <c r="B155" s="2">
        <v>95</v>
      </c>
      <c r="C155" s="2">
        <v>95</v>
      </c>
      <c r="D155" s="2"/>
      <c r="E155" s="2"/>
      <c r="F155" s="2"/>
    </row>
    <row r="156" spans="1:6" x14ac:dyDescent="0.25">
      <c r="A156" s="3">
        <v>96</v>
      </c>
      <c r="B156" s="2">
        <v>96</v>
      </c>
      <c r="C156" s="2">
        <v>96</v>
      </c>
      <c r="D156" s="2"/>
      <c r="E156" s="2"/>
      <c r="F156" s="2"/>
    </row>
    <row r="157" spans="1:6" x14ac:dyDescent="0.25">
      <c r="A157" s="3">
        <v>97</v>
      </c>
      <c r="B157" s="2">
        <v>97</v>
      </c>
      <c r="C157" s="2">
        <v>97</v>
      </c>
      <c r="D157" s="2"/>
      <c r="E157" s="2"/>
      <c r="F157" s="2"/>
    </row>
    <row r="158" spans="1:6" x14ac:dyDescent="0.25">
      <c r="A158" s="3">
        <v>98</v>
      </c>
      <c r="B158" s="2">
        <v>98</v>
      </c>
      <c r="C158" s="2">
        <v>98</v>
      </c>
      <c r="D158" s="2"/>
      <c r="E158" s="2"/>
      <c r="F158" s="2"/>
    </row>
    <row r="159" spans="1:6" x14ac:dyDescent="0.25">
      <c r="A159" s="3">
        <v>99</v>
      </c>
      <c r="B159" s="2">
        <v>99</v>
      </c>
      <c r="C159" s="2">
        <v>99</v>
      </c>
      <c r="D159" s="2"/>
      <c r="E159" s="2"/>
      <c r="F159" s="2"/>
    </row>
    <row r="160" spans="1:6" x14ac:dyDescent="0.25">
      <c r="A160" s="3">
        <v>100</v>
      </c>
      <c r="B160" s="2">
        <v>100</v>
      </c>
      <c r="C160" s="2">
        <v>100</v>
      </c>
      <c r="D160" s="2"/>
      <c r="E160" s="2"/>
      <c r="F160" s="2"/>
    </row>
    <row r="162" spans="1:16" ht="18.75" x14ac:dyDescent="0.25">
      <c r="A162" s="1" t="s">
        <v>102</v>
      </c>
    </row>
    <row r="164" spans="1:16" x14ac:dyDescent="0.25">
      <c r="A164" s="3" t="s">
        <v>103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28.5" x14ac:dyDescent="0.25">
      <c r="A165" s="3" t="s">
        <v>104</v>
      </c>
      <c r="B165" s="3" t="s">
        <v>42</v>
      </c>
      <c r="C165" s="3" t="s">
        <v>105</v>
      </c>
      <c r="D165" s="3" t="s">
        <v>123</v>
      </c>
      <c r="E165" s="3" t="s">
        <v>43</v>
      </c>
      <c r="F165" s="3" t="s">
        <v>105</v>
      </c>
      <c r="G165" s="3" t="s">
        <v>123</v>
      </c>
      <c r="H165" s="3" t="s">
        <v>44</v>
      </c>
      <c r="I165" s="3" t="s">
        <v>105</v>
      </c>
      <c r="J165" s="3" t="s">
        <v>123</v>
      </c>
      <c r="K165" s="3" t="s">
        <v>45</v>
      </c>
      <c r="L165" s="3" t="s">
        <v>105</v>
      </c>
      <c r="M165" s="3" t="s">
        <v>123</v>
      </c>
      <c r="N165" s="3" t="s">
        <v>106</v>
      </c>
      <c r="O165" s="3" t="s">
        <v>9</v>
      </c>
      <c r="P165" s="2"/>
    </row>
    <row r="166" spans="1:16" x14ac:dyDescent="0.25">
      <c r="A166" s="3"/>
      <c r="B166" s="2">
        <v>1.575</v>
      </c>
      <c r="C166" s="2">
        <v>0.1128</v>
      </c>
      <c r="D166" s="2">
        <v>13.9575</v>
      </c>
      <c r="E166" s="2">
        <v>0.26989999999999997</v>
      </c>
      <c r="F166" s="2">
        <v>0.14180000000000001</v>
      </c>
      <c r="G166" s="2">
        <v>1.9036999999999999</v>
      </c>
      <c r="H166" s="2">
        <v>0.15970000000000001</v>
      </c>
      <c r="I166" s="2">
        <v>0.13780000000000001</v>
      </c>
      <c r="J166" s="2">
        <v>1.1592</v>
      </c>
      <c r="K166" s="2">
        <v>-2.0045999999999999</v>
      </c>
      <c r="L166" s="2">
        <v>0.2843</v>
      </c>
      <c r="M166" s="2">
        <v>-7.0518000000000001</v>
      </c>
      <c r="N166" s="2">
        <v>231.09790000000001</v>
      </c>
      <c r="O166" s="4">
        <v>8.0000000000000001E-50</v>
      </c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28.5" x14ac:dyDescent="0.25">
      <c r="A168" s="3" t="s">
        <v>107</v>
      </c>
      <c r="B168" s="3" t="s">
        <v>42</v>
      </c>
      <c r="C168" s="3" t="s">
        <v>105</v>
      </c>
      <c r="D168" s="3" t="s">
        <v>123</v>
      </c>
      <c r="E168" s="3" t="s">
        <v>43</v>
      </c>
      <c r="F168" s="3" t="s">
        <v>105</v>
      </c>
      <c r="G168" s="3" t="s">
        <v>123</v>
      </c>
      <c r="H168" s="3" t="s">
        <v>44</v>
      </c>
      <c r="I168" s="3" t="s">
        <v>105</v>
      </c>
      <c r="J168" s="3" t="s">
        <v>123</v>
      </c>
      <c r="K168" s="3" t="s">
        <v>45</v>
      </c>
      <c r="L168" s="3" t="s">
        <v>105</v>
      </c>
      <c r="M168" s="3" t="s">
        <v>123</v>
      </c>
      <c r="N168" s="3" t="s">
        <v>106</v>
      </c>
      <c r="O168" s="3" t="s">
        <v>9</v>
      </c>
      <c r="P168" s="2"/>
    </row>
    <row r="169" spans="1:16" x14ac:dyDescent="0.25">
      <c r="A169" s="3" t="s">
        <v>203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>
        <v>2.8E-3</v>
      </c>
      <c r="C170" s="2">
        <v>3.3E-3</v>
      </c>
      <c r="D170" s="2">
        <v>0.85760000000000003</v>
      </c>
      <c r="E170" s="2">
        <v>-2.0000000000000001E-4</v>
      </c>
      <c r="F170" s="2">
        <v>4.3E-3</v>
      </c>
      <c r="G170" s="2">
        <v>-4.3400000000000001E-2</v>
      </c>
      <c r="H170" s="2">
        <v>1.2999999999999999E-3</v>
      </c>
      <c r="I170" s="2">
        <v>3.7000000000000002E-3</v>
      </c>
      <c r="J170" s="2">
        <v>0.36349999999999999</v>
      </c>
      <c r="K170" s="2">
        <v>-4.0000000000000001E-3</v>
      </c>
      <c r="L170" s="2">
        <v>8.6E-3</v>
      </c>
      <c r="M170" s="2">
        <v>-0.4587</v>
      </c>
      <c r="N170" s="2">
        <v>0.91500000000000004</v>
      </c>
      <c r="O170" s="2">
        <v>0.82</v>
      </c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3" spans="1:16" ht="18.75" x14ac:dyDescent="0.25">
      <c r="A173" s="1" t="s">
        <v>108</v>
      </c>
    </row>
    <row r="175" spans="1:16" x14ac:dyDescent="0.25">
      <c r="A175" s="3" t="s">
        <v>103</v>
      </c>
      <c r="B175" s="3"/>
      <c r="C175" s="3"/>
      <c r="D175" s="3" t="s">
        <v>106</v>
      </c>
      <c r="E175" s="3" t="s">
        <v>109</v>
      </c>
      <c r="F175" s="3" t="s">
        <v>9</v>
      </c>
    </row>
    <row r="176" spans="1:16" x14ac:dyDescent="0.25">
      <c r="A176" s="3" t="s">
        <v>104</v>
      </c>
      <c r="B176" s="2"/>
      <c r="C176" s="2"/>
      <c r="D176" s="2"/>
      <c r="E176" s="2"/>
      <c r="F176" s="2"/>
    </row>
    <row r="177" spans="1:6" x14ac:dyDescent="0.25">
      <c r="A177" s="3" t="s">
        <v>110</v>
      </c>
      <c r="B177" s="3">
        <v>1</v>
      </c>
      <c r="C177" s="3">
        <v>2</v>
      </c>
      <c r="D177" s="2">
        <v>77.056600000000003</v>
      </c>
      <c r="E177" s="2">
        <v>1</v>
      </c>
      <c r="F177" s="4">
        <v>1.7E-18</v>
      </c>
    </row>
    <row r="178" spans="1:6" x14ac:dyDescent="0.25">
      <c r="A178" s="3" t="s">
        <v>110</v>
      </c>
      <c r="B178" s="3">
        <v>1</v>
      </c>
      <c r="C178" s="3">
        <v>3</v>
      </c>
      <c r="D178" s="2">
        <v>107.7409</v>
      </c>
      <c r="E178" s="2">
        <v>1</v>
      </c>
      <c r="F178" s="4">
        <v>3.0999999999999999E-25</v>
      </c>
    </row>
    <row r="179" spans="1:6" x14ac:dyDescent="0.25">
      <c r="A179" s="3" t="s">
        <v>110</v>
      </c>
      <c r="B179" s="3">
        <v>1</v>
      </c>
      <c r="C179" s="3">
        <v>4</v>
      </c>
      <c r="D179" s="2">
        <v>89.6935</v>
      </c>
      <c r="E179" s="2">
        <v>1</v>
      </c>
      <c r="F179" s="4">
        <v>2.8E-21</v>
      </c>
    </row>
    <row r="180" spans="1:6" x14ac:dyDescent="0.25">
      <c r="A180" s="3" t="s">
        <v>110</v>
      </c>
      <c r="B180" s="3">
        <v>2</v>
      </c>
      <c r="C180" s="3">
        <v>3</v>
      </c>
      <c r="D180" s="2">
        <v>0.35780000000000001</v>
      </c>
      <c r="E180" s="2">
        <v>1</v>
      </c>
      <c r="F180" s="2">
        <v>0.55000000000000004</v>
      </c>
    </row>
    <row r="181" spans="1:6" x14ac:dyDescent="0.25">
      <c r="A181" s="3" t="s">
        <v>110</v>
      </c>
      <c r="B181" s="3">
        <v>2</v>
      </c>
      <c r="C181" s="3">
        <v>4</v>
      </c>
      <c r="D181" s="2">
        <v>32.955199999999998</v>
      </c>
      <c r="E181" s="2">
        <v>1</v>
      </c>
      <c r="F181" s="4">
        <v>9.3999999999999998E-9</v>
      </c>
    </row>
    <row r="182" spans="1:6" x14ac:dyDescent="0.25">
      <c r="A182" s="3" t="s">
        <v>110</v>
      </c>
      <c r="B182" s="3">
        <v>3</v>
      </c>
      <c r="C182" s="3">
        <v>4</v>
      </c>
      <c r="D182" s="2">
        <v>30.025200000000002</v>
      </c>
      <c r="E182" s="2">
        <v>1</v>
      </c>
      <c r="F182" s="4">
        <v>4.3000000000000001E-8</v>
      </c>
    </row>
    <row r="183" spans="1:6" x14ac:dyDescent="0.25">
      <c r="A183" s="3" t="s">
        <v>203</v>
      </c>
      <c r="B183" s="2"/>
      <c r="C183" s="2"/>
      <c r="D183" s="2"/>
      <c r="E183" s="2"/>
      <c r="F183" s="2"/>
    </row>
    <row r="184" spans="1:6" x14ac:dyDescent="0.25">
      <c r="A184" s="3" t="s">
        <v>110</v>
      </c>
      <c r="B184" s="3">
        <v>1</v>
      </c>
      <c r="C184" s="3">
        <v>2</v>
      </c>
      <c r="D184" s="2">
        <v>0.44209999999999999</v>
      </c>
      <c r="E184" s="2">
        <v>1</v>
      </c>
      <c r="F184" s="2">
        <v>0.51</v>
      </c>
    </row>
    <row r="185" spans="1:6" x14ac:dyDescent="0.25">
      <c r="A185" s="3" t="s">
        <v>110</v>
      </c>
      <c r="B185" s="3">
        <v>1</v>
      </c>
      <c r="C185" s="3">
        <v>3</v>
      </c>
      <c r="D185" s="2">
        <v>0.25659999999999999</v>
      </c>
      <c r="E185" s="2">
        <v>1</v>
      </c>
      <c r="F185" s="2">
        <v>0.61</v>
      </c>
    </row>
    <row r="186" spans="1:6" x14ac:dyDescent="0.25">
      <c r="A186" s="3" t="s">
        <v>110</v>
      </c>
      <c r="B186" s="3">
        <v>1</v>
      </c>
      <c r="C186" s="3">
        <v>4</v>
      </c>
      <c r="D186" s="2">
        <v>0.34860000000000002</v>
      </c>
      <c r="E186" s="2">
        <v>1</v>
      </c>
      <c r="F186" s="2">
        <v>0.55000000000000004</v>
      </c>
    </row>
    <row r="187" spans="1:6" x14ac:dyDescent="0.25">
      <c r="A187" s="3" t="s">
        <v>110</v>
      </c>
      <c r="B187" s="3">
        <v>2</v>
      </c>
      <c r="C187" s="3">
        <v>3</v>
      </c>
      <c r="D187" s="2">
        <v>9.0300000000000005E-2</v>
      </c>
      <c r="E187" s="2">
        <v>1</v>
      </c>
      <c r="F187" s="2">
        <v>0.76</v>
      </c>
    </row>
    <row r="188" spans="1:6" x14ac:dyDescent="0.25">
      <c r="A188" s="3" t="s">
        <v>110</v>
      </c>
      <c r="B188" s="3">
        <v>2</v>
      </c>
      <c r="C188" s="3">
        <v>4</v>
      </c>
      <c r="D188" s="2">
        <v>9.69E-2</v>
      </c>
      <c r="E188" s="2">
        <v>1</v>
      </c>
      <c r="F188" s="2">
        <v>0.76</v>
      </c>
    </row>
    <row r="189" spans="1:6" x14ac:dyDescent="0.25">
      <c r="A189" s="3" t="s">
        <v>110</v>
      </c>
      <c r="B189" s="3">
        <v>3</v>
      </c>
      <c r="C189" s="3">
        <v>4</v>
      </c>
      <c r="D189" s="2">
        <v>0.20430000000000001</v>
      </c>
      <c r="E189" s="2">
        <v>1</v>
      </c>
      <c r="F189" s="2">
        <v>0.65</v>
      </c>
    </row>
    <row r="191" spans="1:6" ht="18.75" x14ac:dyDescent="0.25">
      <c r="A191" s="1" t="s">
        <v>111</v>
      </c>
    </row>
    <row r="193" spans="1:9" ht="28.5" x14ac:dyDescent="0.25">
      <c r="A193" s="2"/>
      <c r="B193" s="3" t="s">
        <v>42</v>
      </c>
      <c r="C193" s="3" t="s">
        <v>105</v>
      </c>
      <c r="D193" s="3" t="s">
        <v>43</v>
      </c>
      <c r="E193" s="3" t="s">
        <v>105</v>
      </c>
      <c r="F193" s="3" t="s">
        <v>44</v>
      </c>
      <c r="G193" s="3" t="s">
        <v>105</v>
      </c>
      <c r="H193" s="3" t="s">
        <v>45</v>
      </c>
      <c r="I193" s="3" t="s">
        <v>105</v>
      </c>
    </row>
    <row r="194" spans="1:9" x14ac:dyDescent="0.25">
      <c r="A194" s="3" t="s">
        <v>112</v>
      </c>
      <c r="B194" s="2">
        <v>0.66139999999999999</v>
      </c>
      <c r="C194" s="2">
        <v>1.9300000000000001E-2</v>
      </c>
      <c r="D194" s="2">
        <v>0.16750000000000001</v>
      </c>
      <c r="E194" s="2">
        <v>1.66E-2</v>
      </c>
      <c r="F194" s="2">
        <v>0.15509999999999999</v>
      </c>
      <c r="G194" s="2">
        <v>1.4E-2</v>
      </c>
      <c r="H194" s="2">
        <v>1.6E-2</v>
      </c>
      <c r="I194" s="2">
        <v>4.5999999999999999E-3</v>
      </c>
    </row>
    <row r="195" spans="1:9" x14ac:dyDescent="0.25">
      <c r="A195" s="3" t="s">
        <v>107</v>
      </c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3" t="s">
        <v>203</v>
      </c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10">
        <v>43101</v>
      </c>
      <c r="B197" s="2">
        <v>0.3992</v>
      </c>
      <c r="C197" s="2" t="s">
        <v>11</v>
      </c>
      <c r="D197" s="2">
        <v>0.42759999999999998</v>
      </c>
      <c r="E197" s="2" t="s">
        <v>11</v>
      </c>
      <c r="F197" s="2">
        <v>0.41339999999999999</v>
      </c>
      <c r="G197" s="2" t="s">
        <v>11</v>
      </c>
      <c r="H197" s="2">
        <v>0.4607</v>
      </c>
      <c r="I197" s="2" t="s">
        <v>11</v>
      </c>
    </row>
    <row r="198" spans="1:9" x14ac:dyDescent="0.25">
      <c r="A198" s="10">
        <v>43151</v>
      </c>
      <c r="B198" s="2">
        <v>0.18540000000000001</v>
      </c>
      <c r="C198" s="2" t="s">
        <v>11</v>
      </c>
      <c r="D198" s="2">
        <v>0.19550000000000001</v>
      </c>
      <c r="E198" s="2" t="s">
        <v>11</v>
      </c>
      <c r="F198" s="2">
        <v>0.1905</v>
      </c>
      <c r="G198" s="2" t="s">
        <v>11</v>
      </c>
      <c r="H198" s="2">
        <v>0.20680000000000001</v>
      </c>
      <c r="I198" s="2" t="s">
        <v>11</v>
      </c>
    </row>
    <row r="199" spans="1:9" x14ac:dyDescent="0.25">
      <c r="A199" s="3" t="s">
        <v>204</v>
      </c>
      <c r="B199" s="2">
        <v>0.2651</v>
      </c>
      <c r="C199" s="2" t="s">
        <v>11</v>
      </c>
      <c r="D199" s="2">
        <v>0.25219999999999998</v>
      </c>
      <c r="E199" s="2" t="s">
        <v>11</v>
      </c>
      <c r="F199" s="2">
        <v>0.25890000000000002</v>
      </c>
      <c r="G199" s="2" t="s">
        <v>11</v>
      </c>
      <c r="H199" s="2">
        <v>0.23469999999999999</v>
      </c>
      <c r="I199" s="2" t="s">
        <v>11</v>
      </c>
    </row>
    <row r="200" spans="1:9" x14ac:dyDescent="0.25">
      <c r="A200" s="3" t="s">
        <v>205</v>
      </c>
      <c r="B200" s="2">
        <v>0.15029999999999999</v>
      </c>
      <c r="C200" s="2" t="s">
        <v>11</v>
      </c>
      <c r="D200" s="2">
        <v>0.12470000000000001</v>
      </c>
      <c r="E200" s="2" t="s">
        <v>11</v>
      </c>
      <c r="F200" s="2">
        <v>0.1371</v>
      </c>
      <c r="G200" s="2" t="s">
        <v>11</v>
      </c>
      <c r="H200" s="2">
        <v>9.7799999999999998E-2</v>
      </c>
      <c r="I200" s="2" t="s">
        <v>11</v>
      </c>
    </row>
    <row r="201" spans="1:9" x14ac:dyDescent="0.25">
      <c r="A201" s="3" t="s">
        <v>131</v>
      </c>
      <c r="B201" s="2">
        <v>24.227799999999998</v>
      </c>
      <c r="C201" s="2" t="s">
        <v>11</v>
      </c>
      <c r="D201" s="2">
        <v>21.380800000000001</v>
      </c>
      <c r="E201" s="2" t="s">
        <v>11</v>
      </c>
      <c r="F201" s="2">
        <v>22.781600000000001</v>
      </c>
      <c r="G201" s="2" t="s">
        <v>11</v>
      </c>
      <c r="H201" s="2">
        <v>18.2531</v>
      </c>
      <c r="I201" s="2" t="s">
        <v>11</v>
      </c>
    </row>
    <row r="203" spans="1:9" ht="18.75" x14ac:dyDescent="0.25">
      <c r="A203" s="1" t="s">
        <v>113</v>
      </c>
    </row>
    <row r="205" spans="1:9" ht="28.5" x14ac:dyDescent="0.25">
      <c r="A205" s="2"/>
      <c r="B205" s="3" t="s">
        <v>42</v>
      </c>
      <c r="C205" s="3" t="s">
        <v>43</v>
      </c>
      <c r="D205" s="3" t="s">
        <v>44</v>
      </c>
      <c r="E205" s="3" t="s">
        <v>45</v>
      </c>
    </row>
    <row r="206" spans="1:9" x14ac:dyDescent="0.25">
      <c r="A206" s="3" t="s">
        <v>114</v>
      </c>
      <c r="B206" s="2">
        <v>0.66139999999999999</v>
      </c>
      <c r="C206" s="2">
        <v>0.16750000000000001</v>
      </c>
      <c r="D206" s="2">
        <v>0.15509999999999999</v>
      </c>
      <c r="E206" s="2">
        <v>1.6E-2</v>
      </c>
    </row>
    <row r="207" spans="1:9" x14ac:dyDescent="0.25">
      <c r="A207" s="3" t="s">
        <v>107</v>
      </c>
      <c r="B207" s="2"/>
      <c r="C207" s="2"/>
      <c r="D207" s="2"/>
      <c r="E207" s="2"/>
    </row>
    <row r="208" spans="1:9" x14ac:dyDescent="0.25">
      <c r="A208" s="3" t="s">
        <v>203</v>
      </c>
      <c r="B208" s="2"/>
      <c r="C208" s="2"/>
      <c r="D208" s="2"/>
      <c r="E208" s="2"/>
    </row>
    <row r="209" spans="1:9" x14ac:dyDescent="0.25">
      <c r="A209" s="10">
        <v>43101</v>
      </c>
      <c r="B209" s="2">
        <v>0.64859999999999995</v>
      </c>
      <c r="C209" s="2">
        <v>0.1759</v>
      </c>
      <c r="D209" s="2">
        <v>0.1575</v>
      </c>
      <c r="E209" s="2">
        <v>1.8100000000000002E-2</v>
      </c>
    </row>
    <row r="210" spans="1:9" x14ac:dyDescent="0.25">
      <c r="A210" s="10">
        <v>43151</v>
      </c>
      <c r="B210" s="2">
        <v>0.65159999999999996</v>
      </c>
      <c r="C210" s="2">
        <v>0.1739</v>
      </c>
      <c r="D210" s="2">
        <v>0.157</v>
      </c>
      <c r="E210" s="2">
        <v>1.7500000000000002E-2</v>
      </c>
    </row>
    <row r="211" spans="1:9" x14ac:dyDescent="0.25">
      <c r="A211" s="3" t="s">
        <v>204</v>
      </c>
      <c r="B211" s="2">
        <v>0.6704</v>
      </c>
      <c r="C211" s="2">
        <v>0.16159999999999999</v>
      </c>
      <c r="D211" s="2">
        <v>0.15359999999999999</v>
      </c>
      <c r="E211" s="2">
        <v>1.44E-2</v>
      </c>
    </row>
    <row r="212" spans="1:9" x14ac:dyDescent="0.25">
      <c r="A212" s="3" t="s">
        <v>205</v>
      </c>
      <c r="B212" s="2">
        <v>0.69469999999999998</v>
      </c>
      <c r="C212" s="2">
        <v>0.14580000000000001</v>
      </c>
      <c r="D212" s="2">
        <v>0.14860000000000001</v>
      </c>
      <c r="E212" s="2">
        <v>1.09E-2</v>
      </c>
    </row>
    <row r="214" spans="1:9" ht="18.75" x14ac:dyDescent="0.25">
      <c r="A214" s="1" t="s">
        <v>115</v>
      </c>
    </row>
    <row r="216" spans="1:9" x14ac:dyDescent="0.25">
      <c r="A216" s="2"/>
      <c r="B216" s="35" t="s">
        <v>110</v>
      </c>
      <c r="C216" s="36"/>
      <c r="D216" s="36"/>
      <c r="E216" s="36"/>
      <c r="F216" s="36"/>
      <c r="G216" s="36"/>
      <c r="H216" s="36"/>
      <c r="I216" s="37"/>
    </row>
    <row r="217" spans="1:9" x14ac:dyDescent="0.25">
      <c r="A217" s="3" t="s">
        <v>203</v>
      </c>
      <c r="B217" s="3">
        <v>1</v>
      </c>
      <c r="C217" s="3" t="s">
        <v>105</v>
      </c>
      <c r="D217" s="3">
        <v>2</v>
      </c>
      <c r="E217" s="3" t="s">
        <v>105</v>
      </c>
      <c r="F217" s="3">
        <v>3</v>
      </c>
      <c r="G217" s="3" t="s">
        <v>105</v>
      </c>
      <c r="H217" s="3">
        <v>4</v>
      </c>
      <c r="I217" s="3" t="s">
        <v>105</v>
      </c>
    </row>
    <row r="218" spans="1:9" x14ac:dyDescent="0.25">
      <c r="A218" s="3">
        <v>0</v>
      </c>
      <c r="B218" s="2">
        <v>0.64859999999999995</v>
      </c>
      <c r="C218" s="2">
        <v>2.4400000000000002E-2</v>
      </c>
      <c r="D218" s="2">
        <v>0.1759</v>
      </c>
      <c r="E218" s="2">
        <v>2.12E-2</v>
      </c>
      <c r="F218" s="2">
        <v>0.1575</v>
      </c>
      <c r="G218" s="2">
        <v>1.7899999999999999E-2</v>
      </c>
      <c r="H218" s="2">
        <v>1.8100000000000002E-2</v>
      </c>
      <c r="I218" s="2">
        <v>6.7000000000000002E-3</v>
      </c>
    </row>
    <row r="219" spans="1:9" x14ac:dyDescent="0.25">
      <c r="A219" s="3">
        <v>1</v>
      </c>
      <c r="B219" s="2">
        <v>0.64910000000000001</v>
      </c>
      <c r="C219" s="2">
        <v>2.4E-2</v>
      </c>
      <c r="D219" s="2">
        <v>0.17549999999999999</v>
      </c>
      <c r="E219" s="2">
        <v>2.0799999999999999E-2</v>
      </c>
      <c r="F219" s="2">
        <v>0.15740000000000001</v>
      </c>
      <c r="G219" s="2">
        <v>1.7600000000000001E-2</v>
      </c>
      <c r="H219" s="2">
        <v>1.7999999999999999E-2</v>
      </c>
      <c r="I219" s="2">
        <v>6.4999999999999997E-3</v>
      </c>
    </row>
    <row r="220" spans="1:9" x14ac:dyDescent="0.25">
      <c r="A220" s="3">
        <v>2</v>
      </c>
      <c r="B220" s="2">
        <v>0.64970000000000006</v>
      </c>
      <c r="C220" s="2">
        <v>2.3699999999999999E-2</v>
      </c>
      <c r="D220" s="2">
        <v>0.17510000000000001</v>
      </c>
      <c r="E220" s="2">
        <v>2.0400000000000001E-2</v>
      </c>
      <c r="F220" s="2">
        <v>0.1573</v>
      </c>
      <c r="G220" s="2">
        <v>1.7399999999999999E-2</v>
      </c>
      <c r="H220" s="2">
        <v>1.7899999999999999E-2</v>
      </c>
      <c r="I220" s="2">
        <v>6.4000000000000003E-3</v>
      </c>
    </row>
    <row r="221" spans="1:9" x14ac:dyDescent="0.25">
      <c r="A221" s="3">
        <v>3</v>
      </c>
      <c r="B221" s="2">
        <v>0.65029999999999999</v>
      </c>
      <c r="C221" s="2">
        <v>2.3300000000000001E-2</v>
      </c>
      <c r="D221" s="2">
        <v>0.17469999999999999</v>
      </c>
      <c r="E221" s="2">
        <v>0.02</v>
      </c>
      <c r="F221" s="2">
        <v>0.15720000000000001</v>
      </c>
      <c r="G221" s="2">
        <v>1.7100000000000001E-2</v>
      </c>
      <c r="H221" s="2">
        <v>1.78E-2</v>
      </c>
      <c r="I221" s="2">
        <v>6.1999999999999998E-3</v>
      </c>
    </row>
    <row r="222" spans="1:9" x14ac:dyDescent="0.25">
      <c r="A222" s="3">
        <v>4</v>
      </c>
      <c r="B222" s="2">
        <v>0.65090000000000003</v>
      </c>
      <c r="C222" s="2">
        <v>2.29E-2</v>
      </c>
      <c r="D222" s="2">
        <v>0.1744</v>
      </c>
      <c r="E222" s="2">
        <v>1.9699999999999999E-2</v>
      </c>
      <c r="F222" s="2">
        <v>0.15709999999999999</v>
      </c>
      <c r="G222" s="2">
        <v>1.6899999999999998E-2</v>
      </c>
      <c r="H222" s="2">
        <v>1.77E-2</v>
      </c>
      <c r="I222" s="2">
        <v>6.1000000000000004E-3</v>
      </c>
    </row>
    <row r="223" spans="1:9" x14ac:dyDescent="0.25">
      <c r="A223" s="3">
        <v>5</v>
      </c>
      <c r="B223" s="2">
        <v>0.65139999999999998</v>
      </c>
      <c r="C223" s="2">
        <v>2.2599999999999999E-2</v>
      </c>
      <c r="D223" s="2">
        <v>0.17399999999999999</v>
      </c>
      <c r="E223" s="2">
        <v>1.9300000000000001E-2</v>
      </c>
      <c r="F223" s="2">
        <v>0.157</v>
      </c>
      <c r="G223" s="2">
        <v>1.67E-2</v>
      </c>
      <c r="H223" s="2">
        <v>1.7600000000000001E-2</v>
      </c>
      <c r="I223" s="2">
        <v>5.8999999999999999E-3</v>
      </c>
    </row>
    <row r="224" spans="1:9" x14ac:dyDescent="0.25">
      <c r="A224" s="3">
        <v>6</v>
      </c>
      <c r="B224" s="2">
        <v>0.65200000000000002</v>
      </c>
      <c r="C224" s="2">
        <v>2.23E-2</v>
      </c>
      <c r="D224" s="2">
        <v>0.1736</v>
      </c>
      <c r="E224" s="2">
        <v>1.9E-2</v>
      </c>
      <c r="F224" s="2">
        <v>0.15690000000000001</v>
      </c>
      <c r="G224" s="2">
        <v>1.6400000000000001E-2</v>
      </c>
      <c r="H224" s="2">
        <v>1.7500000000000002E-2</v>
      </c>
      <c r="I224" s="2">
        <v>5.7999999999999996E-3</v>
      </c>
    </row>
    <row r="225" spans="1:9" x14ac:dyDescent="0.25">
      <c r="A225" s="3">
        <v>7</v>
      </c>
      <c r="B225" s="2">
        <v>0.65259999999999996</v>
      </c>
      <c r="C225" s="2">
        <v>2.1899999999999999E-2</v>
      </c>
      <c r="D225" s="2">
        <v>0.17319999999999999</v>
      </c>
      <c r="E225" s="2">
        <v>1.8700000000000001E-2</v>
      </c>
      <c r="F225" s="2">
        <v>0.15679999999999999</v>
      </c>
      <c r="G225" s="2">
        <v>1.6199999999999999E-2</v>
      </c>
      <c r="H225" s="2">
        <v>1.7399999999999999E-2</v>
      </c>
      <c r="I225" s="2">
        <v>5.7000000000000002E-3</v>
      </c>
    </row>
    <row r="226" spans="1:9" x14ac:dyDescent="0.25">
      <c r="A226" s="3">
        <v>8</v>
      </c>
      <c r="B226" s="2">
        <v>0.65310000000000001</v>
      </c>
      <c r="C226" s="2">
        <v>2.1600000000000001E-2</v>
      </c>
      <c r="D226" s="2">
        <v>0.1729</v>
      </c>
      <c r="E226" s="2">
        <v>1.84E-2</v>
      </c>
      <c r="F226" s="2">
        <v>0.15670000000000001</v>
      </c>
      <c r="G226" s="2">
        <v>1.6E-2</v>
      </c>
      <c r="H226" s="2">
        <v>1.72E-2</v>
      </c>
      <c r="I226" s="2">
        <v>5.4999999999999997E-3</v>
      </c>
    </row>
    <row r="227" spans="1:9" x14ac:dyDescent="0.25">
      <c r="A227" s="3">
        <v>9</v>
      </c>
      <c r="B227" s="2">
        <v>0.65369999999999995</v>
      </c>
      <c r="C227" s="2">
        <v>2.1399999999999999E-2</v>
      </c>
      <c r="D227" s="2">
        <v>0.17249999999999999</v>
      </c>
      <c r="E227" s="2">
        <v>1.8100000000000002E-2</v>
      </c>
      <c r="F227" s="2">
        <v>0.15659999999999999</v>
      </c>
      <c r="G227" s="2">
        <v>1.5800000000000002E-2</v>
      </c>
      <c r="H227" s="2">
        <v>1.7100000000000001E-2</v>
      </c>
      <c r="I227" s="2">
        <v>5.4000000000000003E-3</v>
      </c>
    </row>
    <row r="228" spans="1:9" x14ac:dyDescent="0.25">
      <c r="A228" s="3">
        <v>10</v>
      </c>
      <c r="B228" s="2">
        <v>0.65429999999999999</v>
      </c>
      <c r="C228" s="2">
        <v>2.1100000000000001E-2</v>
      </c>
      <c r="D228" s="2">
        <v>0.1721</v>
      </c>
      <c r="E228" s="2">
        <v>1.7899999999999999E-2</v>
      </c>
      <c r="F228" s="2">
        <v>0.1565</v>
      </c>
      <c r="G228" s="2">
        <v>1.5599999999999999E-2</v>
      </c>
      <c r="H228" s="2">
        <v>1.7000000000000001E-2</v>
      </c>
      <c r="I228" s="2">
        <v>5.3E-3</v>
      </c>
    </row>
    <row r="229" spans="1:9" x14ac:dyDescent="0.25">
      <c r="A229" s="3">
        <v>11</v>
      </c>
      <c r="B229" s="2">
        <v>0.65480000000000005</v>
      </c>
      <c r="C229" s="2">
        <v>2.0899999999999998E-2</v>
      </c>
      <c r="D229" s="2">
        <v>0.17180000000000001</v>
      </c>
      <c r="E229" s="2">
        <v>1.7600000000000001E-2</v>
      </c>
      <c r="F229" s="2">
        <v>0.15640000000000001</v>
      </c>
      <c r="G229" s="2">
        <v>1.55E-2</v>
      </c>
      <c r="H229" s="2">
        <v>1.6899999999999998E-2</v>
      </c>
      <c r="I229" s="2">
        <v>5.1999999999999998E-3</v>
      </c>
    </row>
    <row r="230" spans="1:9" x14ac:dyDescent="0.25">
      <c r="A230" s="3">
        <v>12</v>
      </c>
      <c r="B230" s="2">
        <v>0.65539999999999998</v>
      </c>
      <c r="C230" s="2">
        <v>2.06E-2</v>
      </c>
      <c r="D230" s="2">
        <v>0.1714</v>
      </c>
      <c r="E230" s="2">
        <v>1.7399999999999999E-2</v>
      </c>
      <c r="F230" s="2">
        <v>0.15629999999999999</v>
      </c>
      <c r="G230" s="2">
        <v>1.5299999999999999E-2</v>
      </c>
      <c r="H230" s="2">
        <v>1.6799999999999999E-2</v>
      </c>
      <c r="I230" s="2">
        <v>5.1000000000000004E-3</v>
      </c>
    </row>
    <row r="231" spans="1:9" x14ac:dyDescent="0.25">
      <c r="A231" s="3">
        <v>13</v>
      </c>
      <c r="B231" s="2">
        <v>0.65600000000000003</v>
      </c>
      <c r="C231" s="2">
        <v>2.0400000000000001E-2</v>
      </c>
      <c r="D231" s="2">
        <v>0.17100000000000001</v>
      </c>
      <c r="E231" s="2">
        <v>1.7299999999999999E-2</v>
      </c>
      <c r="F231" s="2">
        <v>0.15629999999999999</v>
      </c>
      <c r="G231" s="2">
        <v>1.5100000000000001E-2</v>
      </c>
      <c r="H231" s="2">
        <v>1.67E-2</v>
      </c>
      <c r="I231" s="2">
        <v>5.0000000000000001E-3</v>
      </c>
    </row>
    <row r="232" spans="1:9" x14ac:dyDescent="0.25">
      <c r="A232" s="3">
        <v>14</v>
      </c>
      <c r="B232" s="2">
        <v>0.65649999999999997</v>
      </c>
      <c r="C232" s="2">
        <v>2.0199999999999999E-2</v>
      </c>
      <c r="D232" s="2">
        <v>0.17069999999999999</v>
      </c>
      <c r="E232" s="2">
        <v>1.7100000000000001E-2</v>
      </c>
      <c r="F232" s="2">
        <v>0.15620000000000001</v>
      </c>
      <c r="G232" s="2">
        <v>1.4999999999999999E-2</v>
      </c>
      <c r="H232" s="2">
        <v>1.66E-2</v>
      </c>
      <c r="I232" s="2">
        <v>4.8999999999999998E-3</v>
      </c>
    </row>
    <row r="233" spans="1:9" x14ac:dyDescent="0.25">
      <c r="A233" s="3">
        <v>15</v>
      </c>
      <c r="B233" s="2">
        <v>0.65710000000000002</v>
      </c>
      <c r="C233" s="2">
        <v>2.01E-2</v>
      </c>
      <c r="D233" s="2">
        <v>0.17030000000000001</v>
      </c>
      <c r="E233" s="2">
        <v>1.7000000000000001E-2</v>
      </c>
      <c r="F233" s="2">
        <v>0.15609999999999999</v>
      </c>
      <c r="G233" s="2">
        <v>1.4800000000000001E-2</v>
      </c>
      <c r="H233" s="2">
        <v>1.6500000000000001E-2</v>
      </c>
      <c r="I233" s="2">
        <v>4.8999999999999998E-3</v>
      </c>
    </row>
    <row r="234" spans="1:9" x14ac:dyDescent="0.25">
      <c r="A234" s="3">
        <v>16</v>
      </c>
      <c r="B234" s="2">
        <v>0.65769999999999995</v>
      </c>
      <c r="C234" s="2">
        <v>1.9900000000000001E-2</v>
      </c>
      <c r="D234" s="2">
        <v>0.1699</v>
      </c>
      <c r="E234" s="2">
        <v>1.6799999999999999E-2</v>
      </c>
      <c r="F234" s="2">
        <v>0.156</v>
      </c>
      <c r="G234" s="2">
        <v>1.47E-2</v>
      </c>
      <c r="H234" s="2">
        <v>1.6500000000000001E-2</v>
      </c>
      <c r="I234" s="2">
        <v>4.7999999999999996E-3</v>
      </c>
    </row>
    <row r="235" spans="1:9" x14ac:dyDescent="0.25">
      <c r="A235" s="3">
        <v>17</v>
      </c>
      <c r="B235" s="2">
        <v>0.65820000000000001</v>
      </c>
      <c r="C235" s="2">
        <v>1.9800000000000002E-2</v>
      </c>
      <c r="D235" s="2">
        <v>0.1696</v>
      </c>
      <c r="E235" s="2">
        <v>1.6799999999999999E-2</v>
      </c>
      <c r="F235" s="2">
        <v>0.15590000000000001</v>
      </c>
      <c r="G235" s="2">
        <v>1.4500000000000001E-2</v>
      </c>
      <c r="H235" s="2">
        <v>1.6400000000000001E-2</v>
      </c>
      <c r="I235" s="2">
        <v>4.7000000000000002E-3</v>
      </c>
    </row>
    <row r="236" spans="1:9" x14ac:dyDescent="0.25">
      <c r="A236" s="3">
        <v>18</v>
      </c>
      <c r="B236" s="2">
        <v>0.65880000000000005</v>
      </c>
      <c r="C236" s="2">
        <v>1.9699999999999999E-2</v>
      </c>
      <c r="D236" s="2">
        <v>0.16919999999999999</v>
      </c>
      <c r="E236" s="2">
        <v>1.67E-2</v>
      </c>
      <c r="F236" s="2">
        <v>0.15579999999999999</v>
      </c>
      <c r="G236" s="2">
        <v>1.44E-2</v>
      </c>
      <c r="H236" s="2">
        <v>1.6299999999999999E-2</v>
      </c>
      <c r="I236" s="2">
        <v>4.7000000000000002E-3</v>
      </c>
    </row>
    <row r="237" spans="1:9" x14ac:dyDescent="0.25">
      <c r="A237" s="3">
        <v>19</v>
      </c>
      <c r="B237" s="2">
        <v>0.6593</v>
      </c>
      <c r="C237" s="2">
        <v>1.9599999999999999E-2</v>
      </c>
      <c r="D237" s="2">
        <v>0.16880000000000001</v>
      </c>
      <c r="E237" s="2">
        <v>1.66E-2</v>
      </c>
      <c r="F237" s="2">
        <v>0.15570000000000001</v>
      </c>
      <c r="G237" s="2">
        <v>1.43E-2</v>
      </c>
      <c r="H237" s="2">
        <v>1.6199999999999999E-2</v>
      </c>
      <c r="I237" s="2">
        <v>4.5999999999999999E-3</v>
      </c>
    </row>
    <row r="238" spans="1:9" x14ac:dyDescent="0.25">
      <c r="A238" s="3">
        <v>20</v>
      </c>
      <c r="B238" s="2">
        <v>0.65990000000000004</v>
      </c>
      <c r="C238" s="2">
        <v>1.95E-2</v>
      </c>
      <c r="D238" s="2">
        <v>0.16850000000000001</v>
      </c>
      <c r="E238" s="2">
        <v>1.66E-2</v>
      </c>
      <c r="F238" s="2">
        <v>0.15559999999999999</v>
      </c>
      <c r="G238" s="2">
        <v>1.4200000000000001E-2</v>
      </c>
      <c r="H238" s="2">
        <v>1.61E-2</v>
      </c>
      <c r="I238" s="2">
        <v>4.5999999999999999E-3</v>
      </c>
    </row>
    <row r="239" spans="1:9" x14ac:dyDescent="0.25">
      <c r="A239" s="3">
        <v>21</v>
      </c>
      <c r="B239" s="2">
        <v>0.66049999999999998</v>
      </c>
      <c r="C239" s="2">
        <v>1.95E-2</v>
      </c>
      <c r="D239" s="2">
        <v>0.1681</v>
      </c>
      <c r="E239" s="2">
        <v>1.66E-2</v>
      </c>
      <c r="F239" s="2">
        <v>0.1555</v>
      </c>
      <c r="G239" s="2">
        <v>1.41E-2</v>
      </c>
      <c r="H239" s="2">
        <v>1.6E-2</v>
      </c>
      <c r="I239" s="2">
        <v>4.5999999999999999E-3</v>
      </c>
    </row>
    <row r="240" spans="1:9" x14ac:dyDescent="0.25">
      <c r="A240" s="3">
        <v>22</v>
      </c>
      <c r="B240" s="2">
        <v>0.66100000000000003</v>
      </c>
      <c r="C240" s="2">
        <v>1.9400000000000001E-2</v>
      </c>
      <c r="D240" s="2">
        <v>0.16769999999999999</v>
      </c>
      <c r="E240" s="2">
        <v>1.67E-2</v>
      </c>
      <c r="F240" s="2">
        <v>0.15540000000000001</v>
      </c>
      <c r="G240" s="2">
        <v>1.4E-2</v>
      </c>
      <c r="H240" s="2">
        <v>1.5900000000000001E-2</v>
      </c>
      <c r="I240" s="2">
        <v>4.4999999999999997E-3</v>
      </c>
    </row>
    <row r="241" spans="1:9" x14ac:dyDescent="0.25">
      <c r="A241" s="3">
        <v>23</v>
      </c>
      <c r="B241" s="2">
        <v>0.66159999999999997</v>
      </c>
      <c r="C241" s="2">
        <v>1.9400000000000001E-2</v>
      </c>
      <c r="D241" s="2">
        <v>0.16739999999999999</v>
      </c>
      <c r="E241" s="2">
        <v>1.67E-2</v>
      </c>
      <c r="F241" s="2">
        <v>0.15529999999999999</v>
      </c>
      <c r="G241" s="2">
        <v>1.4E-2</v>
      </c>
      <c r="H241" s="2">
        <v>1.5800000000000002E-2</v>
      </c>
      <c r="I241" s="2">
        <v>4.4999999999999997E-3</v>
      </c>
    </row>
    <row r="242" spans="1:9" x14ac:dyDescent="0.25">
      <c r="A242" s="3">
        <v>24</v>
      </c>
      <c r="B242" s="2">
        <v>0.66210000000000002</v>
      </c>
      <c r="C242" s="2">
        <v>1.9400000000000001E-2</v>
      </c>
      <c r="D242" s="2">
        <v>0.16700000000000001</v>
      </c>
      <c r="E242" s="2">
        <v>1.6799999999999999E-2</v>
      </c>
      <c r="F242" s="2">
        <v>0.1552</v>
      </c>
      <c r="G242" s="2">
        <v>1.3899999999999999E-2</v>
      </c>
      <c r="H242" s="2">
        <v>1.5699999999999999E-2</v>
      </c>
      <c r="I242" s="2">
        <v>4.4999999999999997E-3</v>
      </c>
    </row>
    <row r="243" spans="1:9" x14ac:dyDescent="0.25">
      <c r="A243" s="3">
        <v>25</v>
      </c>
      <c r="B243" s="2">
        <v>0.66269999999999996</v>
      </c>
      <c r="C243" s="2">
        <v>1.95E-2</v>
      </c>
      <c r="D243" s="2">
        <v>0.16669999999999999</v>
      </c>
      <c r="E243" s="2">
        <v>1.6899999999999998E-2</v>
      </c>
      <c r="F243" s="2">
        <v>0.15509999999999999</v>
      </c>
      <c r="G243" s="2">
        <v>1.3899999999999999E-2</v>
      </c>
      <c r="H243" s="2">
        <v>1.5599999999999999E-2</v>
      </c>
      <c r="I243" s="2">
        <v>4.4999999999999997E-3</v>
      </c>
    </row>
    <row r="244" spans="1:9" x14ac:dyDescent="0.25">
      <c r="A244" s="3">
        <v>26</v>
      </c>
      <c r="B244" s="2">
        <v>0.66320000000000001</v>
      </c>
      <c r="C244" s="2">
        <v>1.95E-2</v>
      </c>
      <c r="D244" s="2">
        <v>0.1663</v>
      </c>
      <c r="E244" s="2">
        <v>1.7000000000000001E-2</v>
      </c>
      <c r="F244" s="2">
        <v>0.155</v>
      </c>
      <c r="G244" s="2">
        <v>1.38E-2</v>
      </c>
      <c r="H244" s="2">
        <v>1.55E-2</v>
      </c>
      <c r="I244" s="2">
        <v>4.4999999999999997E-3</v>
      </c>
    </row>
    <row r="245" spans="1:9" x14ac:dyDescent="0.25">
      <c r="A245" s="3">
        <v>27</v>
      </c>
      <c r="B245" s="2">
        <v>0.66379999999999995</v>
      </c>
      <c r="C245" s="2">
        <v>1.9599999999999999E-2</v>
      </c>
      <c r="D245" s="2">
        <v>0.16589999999999999</v>
      </c>
      <c r="E245" s="2">
        <v>1.7100000000000001E-2</v>
      </c>
      <c r="F245" s="2">
        <v>0.15490000000000001</v>
      </c>
      <c r="G245" s="2">
        <v>1.38E-2</v>
      </c>
      <c r="H245" s="2">
        <v>1.54E-2</v>
      </c>
      <c r="I245" s="2">
        <v>4.4999999999999997E-3</v>
      </c>
    </row>
    <row r="246" spans="1:9" x14ac:dyDescent="0.25">
      <c r="A246" s="3">
        <v>28</v>
      </c>
      <c r="B246" s="2">
        <v>0.6643</v>
      </c>
      <c r="C246" s="2">
        <v>1.9699999999999999E-2</v>
      </c>
      <c r="D246" s="2">
        <v>0.1656</v>
      </c>
      <c r="E246" s="2">
        <v>1.7299999999999999E-2</v>
      </c>
      <c r="F246" s="2">
        <v>0.15479999999999999</v>
      </c>
      <c r="G246" s="2">
        <v>1.38E-2</v>
      </c>
      <c r="H246" s="2">
        <v>1.5299999999999999E-2</v>
      </c>
      <c r="I246" s="2">
        <v>4.4999999999999997E-3</v>
      </c>
    </row>
    <row r="247" spans="1:9" x14ac:dyDescent="0.25">
      <c r="A247" s="3">
        <v>30</v>
      </c>
      <c r="B247" s="2">
        <v>0.66549999999999998</v>
      </c>
      <c r="C247" s="2">
        <v>1.9900000000000001E-2</v>
      </c>
      <c r="D247" s="2">
        <v>0.16489999999999999</v>
      </c>
      <c r="E247" s="2">
        <v>1.77E-2</v>
      </c>
      <c r="F247" s="2">
        <v>0.15459999999999999</v>
      </c>
      <c r="G247" s="2">
        <v>1.38E-2</v>
      </c>
      <c r="H247" s="2">
        <v>1.5100000000000001E-2</v>
      </c>
      <c r="I247" s="2">
        <v>4.5999999999999999E-3</v>
      </c>
    </row>
    <row r="248" spans="1:9" x14ac:dyDescent="0.25">
      <c r="A248" s="3">
        <v>31</v>
      </c>
      <c r="B248" s="2">
        <v>0.66600000000000004</v>
      </c>
      <c r="C248" s="2">
        <v>2.01E-2</v>
      </c>
      <c r="D248" s="2">
        <v>0.16450000000000001</v>
      </c>
      <c r="E248" s="2">
        <v>1.7899999999999999E-2</v>
      </c>
      <c r="F248" s="2">
        <v>0.1545</v>
      </c>
      <c r="G248" s="2">
        <v>1.38E-2</v>
      </c>
      <c r="H248" s="2">
        <v>1.4999999999999999E-2</v>
      </c>
      <c r="I248" s="2">
        <v>4.5999999999999999E-3</v>
      </c>
    </row>
    <row r="249" spans="1:9" x14ac:dyDescent="0.25">
      <c r="A249" s="3">
        <v>32</v>
      </c>
      <c r="B249" s="2">
        <v>0.66659999999999997</v>
      </c>
      <c r="C249" s="2">
        <v>2.0199999999999999E-2</v>
      </c>
      <c r="D249" s="2">
        <v>0.1641</v>
      </c>
      <c r="E249" s="2">
        <v>1.8100000000000002E-2</v>
      </c>
      <c r="F249" s="2">
        <v>0.15440000000000001</v>
      </c>
      <c r="G249" s="2">
        <v>1.38E-2</v>
      </c>
      <c r="H249" s="2">
        <v>1.4999999999999999E-2</v>
      </c>
      <c r="I249" s="2">
        <v>4.7000000000000002E-3</v>
      </c>
    </row>
    <row r="250" spans="1:9" x14ac:dyDescent="0.25">
      <c r="A250" s="3">
        <v>33</v>
      </c>
      <c r="B250" s="2">
        <v>0.66710000000000003</v>
      </c>
      <c r="C250" s="2">
        <v>2.0400000000000001E-2</v>
      </c>
      <c r="D250" s="2">
        <v>0.1638</v>
      </c>
      <c r="E250" s="2">
        <v>1.83E-2</v>
      </c>
      <c r="F250" s="2">
        <v>0.15429999999999999</v>
      </c>
      <c r="G250" s="2">
        <v>1.38E-2</v>
      </c>
      <c r="H250" s="2">
        <v>1.49E-2</v>
      </c>
      <c r="I250" s="2">
        <v>4.7000000000000002E-3</v>
      </c>
    </row>
    <row r="251" spans="1:9" x14ac:dyDescent="0.25">
      <c r="A251" s="3">
        <v>34</v>
      </c>
      <c r="B251" s="2">
        <v>0.66769999999999996</v>
      </c>
      <c r="C251" s="2">
        <v>2.06E-2</v>
      </c>
      <c r="D251" s="2">
        <v>0.16339999999999999</v>
      </c>
      <c r="E251" s="2">
        <v>1.8599999999999998E-2</v>
      </c>
      <c r="F251" s="2">
        <v>0.15409999999999999</v>
      </c>
      <c r="G251" s="2">
        <v>1.3899999999999999E-2</v>
      </c>
      <c r="H251" s="2">
        <v>1.4800000000000001E-2</v>
      </c>
      <c r="I251" s="2">
        <v>4.7999999999999996E-3</v>
      </c>
    </row>
    <row r="252" spans="1:9" x14ac:dyDescent="0.25">
      <c r="A252" s="3">
        <v>35</v>
      </c>
      <c r="B252" s="2">
        <v>0.66820000000000002</v>
      </c>
      <c r="C252" s="2">
        <v>2.0799999999999999E-2</v>
      </c>
      <c r="D252" s="2">
        <v>0.16309999999999999</v>
      </c>
      <c r="E252" s="2">
        <v>1.89E-2</v>
      </c>
      <c r="F252" s="2">
        <v>0.154</v>
      </c>
      <c r="G252" s="2">
        <v>1.3899999999999999E-2</v>
      </c>
      <c r="H252" s="2">
        <v>1.47E-2</v>
      </c>
      <c r="I252" s="2">
        <v>4.7999999999999996E-3</v>
      </c>
    </row>
    <row r="253" spans="1:9" x14ac:dyDescent="0.25">
      <c r="A253" s="3">
        <v>36</v>
      </c>
      <c r="B253" s="2">
        <v>0.66869999999999996</v>
      </c>
      <c r="C253" s="2">
        <v>2.1000000000000001E-2</v>
      </c>
      <c r="D253" s="2">
        <v>0.16270000000000001</v>
      </c>
      <c r="E253" s="2">
        <v>1.9199999999999998E-2</v>
      </c>
      <c r="F253" s="2">
        <v>0.15390000000000001</v>
      </c>
      <c r="G253" s="2">
        <v>1.4E-2</v>
      </c>
      <c r="H253" s="2">
        <v>1.46E-2</v>
      </c>
      <c r="I253" s="2">
        <v>4.8999999999999998E-3</v>
      </c>
    </row>
    <row r="254" spans="1:9" x14ac:dyDescent="0.25">
      <c r="A254" s="3">
        <v>37</v>
      </c>
      <c r="B254" s="2">
        <v>0.66930000000000001</v>
      </c>
      <c r="C254" s="2">
        <v>2.1299999999999999E-2</v>
      </c>
      <c r="D254" s="2">
        <v>0.1623</v>
      </c>
      <c r="E254" s="2">
        <v>1.95E-2</v>
      </c>
      <c r="F254" s="2">
        <v>0.15379999999999999</v>
      </c>
      <c r="G254" s="2">
        <v>1.41E-2</v>
      </c>
      <c r="H254" s="2">
        <v>1.4500000000000001E-2</v>
      </c>
      <c r="I254" s="2">
        <v>4.8999999999999998E-3</v>
      </c>
    </row>
    <row r="255" spans="1:9" x14ac:dyDescent="0.25">
      <c r="A255" s="3">
        <v>38</v>
      </c>
      <c r="B255" s="2">
        <v>0.66979999999999995</v>
      </c>
      <c r="C255" s="2">
        <v>2.1499999999999998E-2</v>
      </c>
      <c r="D255" s="2">
        <v>0.16200000000000001</v>
      </c>
      <c r="E255" s="2">
        <v>1.9800000000000002E-2</v>
      </c>
      <c r="F255" s="2">
        <v>0.1537</v>
      </c>
      <c r="G255" s="2">
        <v>1.4200000000000001E-2</v>
      </c>
      <c r="H255" s="2">
        <v>1.44E-2</v>
      </c>
      <c r="I255" s="2">
        <v>5.0000000000000001E-3</v>
      </c>
    </row>
    <row r="256" spans="1:9" x14ac:dyDescent="0.25">
      <c r="A256" s="3">
        <v>39</v>
      </c>
      <c r="B256" s="2">
        <v>0.6704</v>
      </c>
      <c r="C256" s="2">
        <v>2.18E-2</v>
      </c>
      <c r="D256" s="2">
        <v>0.16159999999999999</v>
      </c>
      <c r="E256" s="2">
        <v>2.01E-2</v>
      </c>
      <c r="F256" s="2">
        <v>0.15359999999999999</v>
      </c>
      <c r="G256" s="2">
        <v>1.43E-2</v>
      </c>
      <c r="H256" s="2">
        <v>1.43E-2</v>
      </c>
      <c r="I256" s="2">
        <v>5.0000000000000001E-3</v>
      </c>
    </row>
    <row r="257" spans="1:9" x14ac:dyDescent="0.25">
      <c r="A257" s="3">
        <v>40</v>
      </c>
      <c r="B257" s="2">
        <v>0.67090000000000005</v>
      </c>
      <c r="C257" s="2">
        <v>2.2100000000000002E-2</v>
      </c>
      <c r="D257" s="2">
        <v>0.1613</v>
      </c>
      <c r="E257" s="2">
        <v>2.0400000000000001E-2</v>
      </c>
      <c r="F257" s="2">
        <v>0.1535</v>
      </c>
      <c r="G257" s="2">
        <v>1.44E-2</v>
      </c>
      <c r="H257" s="2">
        <v>1.43E-2</v>
      </c>
      <c r="I257" s="2">
        <v>5.1000000000000004E-3</v>
      </c>
    </row>
    <row r="258" spans="1:9" x14ac:dyDescent="0.25">
      <c r="A258" s="3">
        <v>41</v>
      </c>
      <c r="B258" s="2">
        <v>0.67149999999999999</v>
      </c>
      <c r="C258" s="2">
        <v>2.24E-2</v>
      </c>
      <c r="D258" s="2">
        <v>0.16089999999999999</v>
      </c>
      <c r="E258" s="2">
        <v>2.0799999999999999E-2</v>
      </c>
      <c r="F258" s="2">
        <v>0.15340000000000001</v>
      </c>
      <c r="G258" s="2">
        <v>1.4500000000000001E-2</v>
      </c>
      <c r="H258" s="2">
        <v>1.4200000000000001E-2</v>
      </c>
      <c r="I258" s="2">
        <v>5.1999999999999998E-3</v>
      </c>
    </row>
    <row r="259" spans="1:9" x14ac:dyDescent="0.25">
      <c r="A259" s="3">
        <v>42</v>
      </c>
      <c r="B259" s="2">
        <v>0.67200000000000004</v>
      </c>
      <c r="C259" s="2">
        <v>2.2700000000000001E-2</v>
      </c>
      <c r="D259" s="2">
        <v>0.16059999999999999</v>
      </c>
      <c r="E259" s="2">
        <v>2.1100000000000001E-2</v>
      </c>
      <c r="F259" s="2">
        <v>0.15329999999999999</v>
      </c>
      <c r="G259" s="2">
        <v>1.46E-2</v>
      </c>
      <c r="H259" s="2">
        <v>1.41E-2</v>
      </c>
      <c r="I259" s="2">
        <v>5.1999999999999998E-3</v>
      </c>
    </row>
    <row r="260" spans="1:9" x14ac:dyDescent="0.25">
      <c r="A260" s="3">
        <v>43</v>
      </c>
      <c r="B260" s="2">
        <v>0.67259999999999998</v>
      </c>
      <c r="C260" s="2">
        <v>2.3E-2</v>
      </c>
      <c r="D260" s="2">
        <v>0.16020000000000001</v>
      </c>
      <c r="E260" s="2">
        <v>2.1499999999999998E-2</v>
      </c>
      <c r="F260" s="2">
        <v>0.1532</v>
      </c>
      <c r="G260" s="2">
        <v>1.47E-2</v>
      </c>
      <c r="H260" s="2">
        <v>1.4E-2</v>
      </c>
      <c r="I260" s="2">
        <v>5.3E-3</v>
      </c>
    </row>
    <row r="261" spans="1:9" x14ac:dyDescent="0.25">
      <c r="A261" s="3">
        <v>44</v>
      </c>
      <c r="B261" s="2">
        <v>0.67310000000000003</v>
      </c>
      <c r="C261" s="2">
        <v>2.3400000000000001E-2</v>
      </c>
      <c r="D261" s="2">
        <v>0.15989999999999999</v>
      </c>
      <c r="E261" s="2">
        <v>2.1899999999999999E-2</v>
      </c>
      <c r="F261" s="2">
        <v>0.15310000000000001</v>
      </c>
      <c r="G261" s="2">
        <v>1.49E-2</v>
      </c>
      <c r="H261" s="2">
        <v>1.3899999999999999E-2</v>
      </c>
      <c r="I261" s="2">
        <v>5.4000000000000003E-3</v>
      </c>
    </row>
    <row r="262" spans="1:9" x14ac:dyDescent="0.25">
      <c r="A262" s="3">
        <v>45</v>
      </c>
      <c r="B262" s="2">
        <v>0.67359999999999998</v>
      </c>
      <c r="C262" s="2">
        <v>2.3699999999999999E-2</v>
      </c>
      <c r="D262" s="2">
        <v>0.1595</v>
      </c>
      <c r="E262" s="2">
        <v>2.23E-2</v>
      </c>
      <c r="F262" s="2">
        <v>0.153</v>
      </c>
      <c r="G262" s="2">
        <v>1.4999999999999999E-2</v>
      </c>
      <c r="H262" s="2">
        <v>1.38E-2</v>
      </c>
      <c r="I262" s="2">
        <v>5.4999999999999997E-3</v>
      </c>
    </row>
    <row r="263" spans="1:9" x14ac:dyDescent="0.25">
      <c r="A263" s="3">
        <v>46</v>
      </c>
      <c r="B263" s="2">
        <v>0.67420000000000002</v>
      </c>
      <c r="C263" s="2">
        <v>2.4E-2</v>
      </c>
      <c r="D263" s="2">
        <v>0.15920000000000001</v>
      </c>
      <c r="E263" s="2">
        <v>2.2599999999999999E-2</v>
      </c>
      <c r="F263" s="2">
        <v>0.15290000000000001</v>
      </c>
      <c r="G263" s="2">
        <v>1.52E-2</v>
      </c>
      <c r="H263" s="2">
        <v>1.38E-2</v>
      </c>
      <c r="I263" s="2">
        <v>5.4999999999999997E-3</v>
      </c>
    </row>
    <row r="264" spans="1:9" x14ac:dyDescent="0.25">
      <c r="A264" s="3">
        <v>47</v>
      </c>
      <c r="B264" s="2">
        <v>0.67469999999999997</v>
      </c>
      <c r="C264" s="2">
        <v>2.4400000000000002E-2</v>
      </c>
      <c r="D264" s="2">
        <v>0.1588</v>
      </c>
      <c r="E264" s="2">
        <v>2.3E-2</v>
      </c>
      <c r="F264" s="2">
        <v>0.15279999999999999</v>
      </c>
      <c r="G264" s="2">
        <v>1.54E-2</v>
      </c>
      <c r="H264" s="2">
        <v>1.37E-2</v>
      </c>
      <c r="I264" s="2">
        <v>5.5999999999999999E-3</v>
      </c>
    </row>
    <row r="265" spans="1:9" x14ac:dyDescent="0.25">
      <c r="A265" s="3">
        <v>48</v>
      </c>
      <c r="B265" s="2">
        <v>0.67530000000000001</v>
      </c>
      <c r="C265" s="2">
        <v>2.4799999999999999E-2</v>
      </c>
      <c r="D265" s="2">
        <v>0.1585</v>
      </c>
      <c r="E265" s="2">
        <v>2.3400000000000001E-2</v>
      </c>
      <c r="F265" s="2">
        <v>0.1527</v>
      </c>
      <c r="G265" s="2">
        <v>1.55E-2</v>
      </c>
      <c r="H265" s="2">
        <v>1.3599999999999999E-2</v>
      </c>
      <c r="I265" s="2">
        <v>5.7000000000000002E-3</v>
      </c>
    </row>
    <row r="266" spans="1:9" x14ac:dyDescent="0.25">
      <c r="A266" s="3">
        <v>49</v>
      </c>
      <c r="B266" s="2">
        <v>0.67579999999999996</v>
      </c>
      <c r="C266" s="2">
        <v>2.5100000000000001E-2</v>
      </c>
      <c r="D266" s="2">
        <v>0.15809999999999999</v>
      </c>
      <c r="E266" s="2">
        <v>2.3800000000000002E-2</v>
      </c>
      <c r="F266" s="2">
        <v>0.15260000000000001</v>
      </c>
      <c r="G266" s="2">
        <v>1.5699999999999999E-2</v>
      </c>
      <c r="H266" s="2">
        <v>1.35E-2</v>
      </c>
      <c r="I266" s="2">
        <v>5.7999999999999996E-3</v>
      </c>
    </row>
    <row r="267" spans="1:9" x14ac:dyDescent="0.25">
      <c r="A267" s="3">
        <v>50</v>
      </c>
      <c r="B267" s="2">
        <v>0.67630000000000001</v>
      </c>
      <c r="C267" s="2">
        <v>2.5499999999999998E-2</v>
      </c>
      <c r="D267" s="2">
        <v>0.1578</v>
      </c>
      <c r="E267" s="2">
        <v>2.4199999999999999E-2</v>
      </c>
      <c r="F267" s="2">
        <v>0.1525</v>
      </c>
      <c r="G267" s="2">
        <v>1.5900000000000001E-2</v>
      </c>
      <c r="H267" s="2">
        <v>1.34E-2</v>
      </c>
      <c r="I267" s="2">
        <v>5.8999999999999999E-3</v>
      </c>
    </row>
    <row r="268" spans="1:9" x14ac:dyDescent="0.25">
      <c r="A268" s="3">
        <v>51</v>
      </c>
      <c r="B268" s="2">
        <v>0.67689999999999995</v>
      </c>
      <c r="C268" s="2">
        <v>2.5899999999999999E-2</v>
      </c>
      <c r="D268" s="2">
        <v>0.15740000000000001</v>
      </c>
      <c r="E268" s="2">
        <v>2.46E-2</v>
      </c>
      <c r="F268" s="2">
        <v>0.15240000000000001</v>
      </c>
      <c r="G268" s="2">
        <v>1.61E-2</v>
      </c>
      <c r="H268" s="2">
        <v>1.34E-2</v>
      </c>
      <c r="I268" s="2">
        <v>5.8999999999999999E-3</v>
      </c>
    </row>
    <row r="269" spans="1:9" x14ac:dyDescent="0.25">
      <c r="A269" s="3">
        <v>52</v>
      </c>
      <c r="B269" s="2">
        <v>0.6774</v>
      </c>
      <c r="C269" s="2">
        <v>2.63E-2</v>
      </c>
      <c r="D269" s="2">
        <v>0.15709999999999999</v>
      </c>
      <c r="E269" s="2">
        <v>2.5100000000000001E-2</v>
      </c>
      <c r="F269" s="2">
        <v>0.15229999999999999</v>
      </c>
      <c r="G269" s="2">
        <v>1.6299999999999999E-2</v>
      </c>
      <c r="H269" s="2">
        <v>1.3299999999999999E-2</v>
      </c>
      <c r="I269" s="2">
        <v>6.0000000000000001E-3</v>
      </c>
    </row>
    <row r="270" spans="1:9" x14ac:dyDescent="0.25">
      <c r="A270" s="3">
        <v>53</v>
      </c>
      <c r="B270" s="2">
        <v>0.67789999999999995</v>
      </c>
      <c r="C270" s="2">
        <v>2.6700000000000002E-2</v>
      </c>
      <c r="D270" s="2">
        <v>0.15670000000000001</v>
      </c>
      <c r="E270" s="2">
        <v>2.5499999999999998E-2</v>
      </c>
      <c r="F270" s="2">
        <v>0.1522</v>
      </c>
      <c r="G270" s="2">
        <v>1.6500000000000001E-2</v>
      </c>
      <c r="H270" s="2">
        <v>1.32E-2</v>
      </c>
      <c r="I270" s="2">
        <v>6.1000000000000004E-3</v>
      </c>
    </row>
    <row r="271" spans="1:9" x14ac:dyDescent="0.25">
      <c r="A271" s="3">
        <v>54</v>
      </c>
      <c r="B271" s="2">
        <v>0.67849999999999999</v>
      </c>
      <c r="C271" s="2">
        <v>2.7099999999999999E-2</v>
      </c>
      <c r="D271" s="2">
        <v>0.15640000000000001</v>
      </c>
      <c r="E271" s="2">
        <v>2.5899999999999999E-2</v>
      </c>
      <c r="F271" s="2">
        <v>0.15210000000000001</v>
      </c>
      <c r="G271" s="2">
        <v>1.67E-2</v>
      </c>
      <c r="H271" s="2">
        <v>1.3100000000000001E-2</v>
      </c>
      <c r="I271" s="2">
        <v>6.1999999999999998E-3</v>
      </c>
    </row>
    <row r="272" spans="1:9" x14ac:dyDescent="0.25">
      <c r="A272" s="3">
        <v>55</v>
      </c>
      <c r="B272" s="2">
        <v>0.67900000000000005</v>
      </c>
      <c r="C272" s="2">
        <v>2.75E-2</v>
      </c>
      <c r="D272" s="2">
        <v>0.156</v>
      </c>
      <c r="E272" s="2">
        <v>2.63E-2</v>
      </c>
      <c r="F272" s="2">
        <v>0.152</v>
      </c>
      <c r="G272" s="2">
        <v>1.6899999999999998E-2</v>
      </c>
      <c r="H272" s="2">
        <v>1.2999999999999999E-2</v>
      </c>
      <c r="I272" s="2">
        <v>6.3E-3</v>
      </c>
    </row>
    <row r="273" spans="1:9" x14ac:dyDescent="0.25">
      <c r="A273" s="3">
        <v>56</v>
      </c>
      <c r="B273" s="2">
        <v>0.67949999999999999</v>
      </c>
      <c r="C273" s="2">
        <v>2.8000000000000001E-2</v>
      </c>
      <c r="D273" s="2">
        <v>0.15570000000000001</v>
      </c>
      <c r="E273" s="2">
        <v>2.6800000000000001E-2</v>
      </c>
      <c r="F273" s="2">
        <v>0.15179999999999999</v>
      </c>
      <c r="G273" s="2">
        <v>1.7100000000000001E-2</v>
      </c>
      <c r="H273" s="2">
        <v>1.2999999999999999E-2</v>
      </c>
      <c r="I273" s="2">
        <v>6.3E-3</v>
      </c>
    </row>
    <row r="274" spans="1:9" x14ac:dyDescent="0.25">
      <c r="A274" s="3">
        <v>57</v>
      </c>
      <c r="B274" s="2">
        <v>0.68010000000000004</v>
      </c>
      <c r="C274" s="2">
        <v>2.8400000000000002E-2</v>
      </c>
      <c r="D274" s="2">
        <v>0.15529999999999999</v>
      </c>
      <c r="E274" s="2">
        <v>2.7199999999999998E-2</v>
      </c>
      <c r="F274" s="2">
        <v>0.1517</v>
      </c>
      <c r="G274" s="2">
        <v>1.7299999999999999E-2</v>
      </c>
      <c r="H274" s="2">
        <v>1.29E-2</v>
      </c>
      <c r="I274" s="2">
        <v>6.4000000000000003E-3</v>
      </c>
    </row>
    <row r="275" spans="1:9" x14ac:dyDescent="0.25">
      <c r="A275" s="3">
        <v>58</v>
      </c>
      <c r="B275" s="2">
        <v>0.68059999999999998</v>
      </c>
      <c r="C275" s="2">
        <v>2.8799999999999999E-2</v>
      </c>
      <c r="D275" s="2">
        <v>0.155</v>
      </c>
      <c r="E275" s="2">
        <v>2.76E-2</v>
      </c>
      <c r="F275" s="2">
        <v>0.15160000000000001</v>
      </c>
      <c r="G275" s="2">
        <v>1.7600000000000001E-2</v>
      </c>
      <c r="H275" s="2">
        <v>1.2800000000000001E-2</v>
      </c>
      <c r="I275" s="2">
        <v>6.4999999999999997E-3</v>
      </c>
    </row>
    <row r="276" spans="1:9" x14ac:dyDescent="0.25">
      <c r="A276" s="3">
        <v>60</v>
      </c>
      <c r="B276" s="2">
        <v>0.68159999999999998</v>
      </c>
      <c r="C276" s="2">
        <v>2.9700000000000001E-2</v>
      </c>
      <c r="D276" s="2">
        <v>0.15429999999999999</v>
      </c>
      <c r="E276" s="2">
        <v>2.8500000000000001E-2</v>
      </c>
      <c r="F276" s="2">
        <v>0.15140000000000001</v>
      </c>
      <c r="G276" s="2">
        <v>1.7999999999999999E-2</v>
      </c>
      <c r="H276" s="2">
        <v>1.26E-2</v>
      </c>
      <c r="I276" s="2">
        <v>6.7000000000000002E-3</v>
      </c>
    </row>
    <row r="277" spans="1:9" x14ac:dyDescent="0.25">
      <c r="A277" s="3">
        <v>61</v>
      </c>
      <c r="B277" s="2">
        <v>0.68220000000000003</v>
      </c>
      <c r="C277" s="2">
        <v>3.0099999999999998E-2</v>
      </c>
      <c r="D277" s="2">
        <v>0.15390000000000001</v>
      </c>
      <c r="E277" s="2">
        <v>2.8899999999999999E-2</v>
      </c>
      <c r="F277" s="2">
        <v>0.15129999999999999</v>
      </c>
      <c r="G277" s="2">
        <v>1.83E-2</v>
      </c>
      <c r="H277" s="2">
        <v>1.26E-2</v>
      </c>
      <c r="I277" s="2">
        <v>6.7999999999999996E-3</v>
      </c>
    </row>
    <row r="278" spans="1:9" x14ac:dyDescent="0.25">
      <c r="A278" s="3">
        <v>62</v>
      </c>
      <c r="B278" s="2">
        <v>0.68269999999999997</v>
      </c>
      <c r="C278" s="2">
        <v>3.0599999999999999E-2</v>
      </c>
      <c r="D278" s="2">
        <v>0.15359999999999999</v>
      </c>
      <c r="E278" s="2">
        <v>2.9399999999999999E-2</v>
      </c>
      <c r="F278" s="2">
        <v>0.1512</v>
      </c>
      <c r="G278" s="2">
        <v>1.8499999999999999E-2</v>
      </c>
      <c r="H278" s="2">
        <v>1.2500000000000001E-2</v>
      </c>
      <c r="I278" s="2">
        <v>6.7999999999999996E-3</v>
      </c>
    </row>
    <row r="279" spans="1:9" x14ac:dyDescent="0.25">
      <c r="A279" s="3">
        <v>63</v>
      </c>
      <c r="B279" s="2">
        <v>0.68320000000000003</v>
      </c>
      <c r="C279" s="2">
        <v>3.1E-2</v>
      </c>
      <c r="D279" s="2">
        <v>0.15329999999999999</v>
      </c>
      <c r="E279" s="2">
        <v>2.98E-2</v>
      </c>
      <c r="F279" s="2">
        <v>0.15110000000000001</v>
      </c>
      <c r="G279" s="2">
        <v>1.8800000000000001E-2</v>
      </c>
      <c r="H279" s="2">
        <v>1.24E-2</v>
      </c>
      <c r="I279" s="2">
        <v>6.8999999999999999E-3</v>
      </c>
    </row>
    <row r="280" spans="1:9" x14ac:dyDescent="0.25">
      <c r="A280" s="3">
        <v>64</v>
      </c>
      <c r="B280" s="2">
        <v>0.68379999999999996</v>
      </c>
      <c r="C280" s="2">
        <v>3.15E-2</v>
      </c>
      <c r="D280" s="2">
        <v>0.15290000000000001</v>
      </c>
      <c r="E280" s="2">
        <v>3.0300000000000001E-2</v>
      </c>
      <c r="F280" s="2">
        <v>0.151</v>
      </c>
      <c r="G280" s="2">
        <v>1.9E-2</v>
      </c>
      <c r="H280" s="2">
        <v>1.23E-2</v>
      </c>
      <c r="I280" s="2">
        <v>7.0000000000000001E-3</v>
      </c>
    </row>
    <row r="281" spans="1:9" x14ac:dyDescent="0.25">
      <c r="A281" s="3">
        <v>65</v>
      </c>
      <c r="B281" s="2">
        <v>0.68430000000000002</v>
      </c>
      <c r="C281" s="2">
        <v>3.1899999999999998E-2</v>
      </c>
      <c r="D281" s="2">
        <v>0.15260000000000001</v>
      </c>
      <c r="E281" s="2">
        <v>3.0700000000000002E-2</v>
      </c>
      <c r="F281" s="2">
        <v>0.15090000000000001</v>
      </c>
      <c r="G281" s="2">
        <v>1.9300000000000001E-2</v>
      </c>
      <c r="H281" s="2">
        <v>1.23E-2</v>
      </c>
      <c r="I281" s="2">
        <v>7.1000000000000004E-3</v>
      </c>
    </row>
    <row r="282" spans="1:9" x14ac:dyDescent="0.25">
      <c r="A282" s="3">
        <v>66</v>
      </c>
      <c r="B282" s="2">
        <v>0.68479999999999996</v>
      </c>
      <c r="C282" s="2">
        <v>3.2399999999999998E-2</v>
      </c>
      <c r="D282" s="2">
        <v>0.1522</v>
      </c>
      <c r="E282" s="2">
        <v>3.1199999999999999E-2</v>
      </c>
      <c r="F282" s="2">
        <v>0.15079999999999999</v>
      </c>
      <c r="G282" s="2">
        <v>1.95E-2</v>
      </c>
      <c r="H282" s="2">
        <v>1.2200000000000001E-2</v>
      </c>
      <c r="I282" s="2">
        <v>7.1000000000000004E-3</v>
      </c>
    </row>
    <row r="283" spans="1:9" x14ac:dyDescent="0.25">
      <c r="A283" s="3">
        <v>67</v>
      </c>
      <c r="B283" s="2">
        <v>0.68530000000000002</v>
      </c>
      <c r="C283" s="2">
        <v>3.2800000000000003E-2</v>
      </c>
      <c r="D283" s="2">
        <v>0.15190000000000001</v>
      </c>
      <c r="E283" s="2">
        <v>3.1600000000000003E-2</v>
      </c>
      <c r="F283" s="2">
        <v>0.1507</v>
      </c>
      <c r="G283" s="2">
        <v>1.9800000000000002E-2</v>
      </c>
      <c r="H283" s="2">
        <v>1.21E-2</v>
      </c>
      <c r="I283" s="2">
        <v>7.1999999999999998E-3</v>
      </c>
    </row>
    <row r="284" spans="1:9" x14ac:dyDescent="0.25">
      <c r="A284" s="3">
        <v>68</v>
      </c>
      <c r="B284" s="2">
        <v>0.68589999999999995</v>
      </c>
      <c r="C284" s="2">
        <v>3.3300000000000003E-2</v>
      </c>
      <c r="D284" s="2">
        <v>0.1515</v>
      </c>
      <c r="E284" s="2">
        <v>3.2099999999999997E-2</v>
      </c>
      <c r="F284" s="2">
        <v>0.15049999999999999</v>
      </c>
      <c r="G284" s="2">
        <v>0.02</v>
      </c>
      <c r="H284" s="2">
        <v>1.21E-2</v>
      </c>
      <c r="I284" s="2">
        <v>7.3000000000000001E-3</v>
      </c>
    </row>
    <row r="285" spans="1:9" x14ac:dyDescent="0.25">
      <c r="A285" s="3">
        <v>70</v>
      </c>
      <c r="B285" s="2">
        <v>0.68689999999999996</v>
      </c>
      <c r="C285" s="2">
        <v>3.4200000000000001E-2</v>
      </c>
      <c r="D285" s="2">
        <v>0.15090000000000001</v>
      </c>
      <c r="E285" s="2">
        <v>3.3000000000000002E-2</v>
      </c>
      <c r="F285" s="2">
        <v>0.15029999999999999</v>
      </c>
      <c r="G285" s="2">
        <v>2.06E-2</v>
      </c>
      <c r="H285" s="2">
        <v>1.1900000000000001E-2</v>
      </c>
      <c r="I285" s="2">
        <v>7.4999999999999997E-3</v>
      </c>
    </row>
    <row r="286" spans="1:9" x14ac:dyDescent="0.25">
      <c r="A286" s="3">
        <v>71</v>
      </c>
      <c r="B286" s="2">
        <v>0.68740000000000001</v>
      </c>
      <c r="C286" s="2">
        <v>3.4700000000000002E-2</v>
      </c>
      <c r="D286" s="2">
        <v>0.15049999999999999</v>
      </c>
      <c r="E286" s="2">
        <v>3.3399999999999999E-2</v>
      </c>
      <c r="F286" s="2">
        <v>0.1502</v>
      </c>
      <c r="G286" s="2">
        <v>2.0799999999999999E-2</v>
      </c>
      <c r="H286" s="2">
        <v>1.18E-2</v>
      </c>
      <c r="I286" s="2">
        <v>7.4999999999999997E-3</v>
      </c>
    </row>
    <row r="287" spans="1:9" x14ac:dyDescent="0.25">
      <c r="A287" s="3">
        <v>72</v>
      </c>
      <c r="B287" s="2">
        <v>0.68789999999999996</v>
      </c>
      <c r="C287" s="2">
        <v>3.5099999999999999E-2</v>
      </c>
      <c r="D287" s="2">
        <v>0.1502</v>
      </c>
      <c r="E287" s="2">
        <v>3.39E-2</v>
      </c>
      <c r="F287" s="2">
        <v>0.15010000000000001</v>
      </c>
      <c r="G287" s="2">
        <v>2.1100000000000001E-2</v>
      </c>
      <c r="H287" s="2">
        <v>1.18E-2</v>
      </c>
      <c r="I287" s="2">
        <v>7.6E-3</v>
      </c>
    </row>
    <row r="288" spans="1:9" x14ac:dyDescent="0.25">
      <c r="A288" s="3">
        <v>73</v>
      </c>
      <c r="B288" s="2">
        <v>0.6885</v>
      </c>
      <c r="C288" s="2">
        <v>3.56E-2</v>
      </c>
      <c r="D288" s="2">
        <v>0.14979999999999999</v>
      </c>
      <c r="E288" s="2">
        <v>3.4299999999999997E-2</v>
      </c>
      <c r="F288" s="2">
        <v>0.15</v>
      </c>
      <c r="G288" s="2">
        <v>2.1399999999999999E-2</v>
      </c>
      <c r="H288" s="2">
        <v>1.17E-2</v>
      </c>
      <c r="I288" s="2">
        <v>7.7000000000000002E-3</v>
      </c>
    </row>
    <row r="289" spans="1:9" x14ac:dyDescent="0.25">
      <c r="A289" s="3">
        <v>74</v>
      </c>
      <c r="B289" s="2">
        <v>0.68899999999999995</v>
      </c>
      <c r="C289" s="2">
        <v>3.61E-2</v>
      </c>
      <c r="D289" s="2">
        <v>0.14949999999999999</v>
      </c>
      <c r="E289" s="2">
        <v>3.4799999999999998E-2</v>
      </c>
      <c r="F289" s="2">
        <v>0.14990000000000001</v>
      </c>
      <c r="G289" s="2">
        <v>2.1700000000000001E-2</v>
      </c>
      <c r="H289" s="2">
        <v>1.1599999999999999E-2</v>
      </c>
      <c r="I289" s="2">
        <v>7.7999999999999996E-3</v>
      </c>
    </row>
    <row r="290" spans="1:9" x14ac:dyDescent="0.25">
      <c r="A290" s="3">
        <v>75</v>
      </c>
      <c r="B290" s="2">
        <v>0.6895</v>
      </c>
      <c r="C290" s="2">
        <v>3.6600000000000001E-2</v>
      </c>
      <c r="D290" s="2">
        <v>0.1492</v>
      </c>
      <c r="E290" s="2">
        <v>3.5200000000000002E-2</v>
      </c>
      <c r="F290" s="2">
        <v>0.14979999999999999</v>
      </c>
      <c r="G290" s="2">
        <v>2.1999999999999999E-2</v>
      </c>
      <c r="H290" s="2">
        <v>1.1599999999999999E-2</v>
      </c>
      <c r="I290" s="2">
        <v>7.7999999999999996E-3</v>
      </c>
    </row>
    <row r="291" spans="1:9" x14ac:dyDescent="0.25">
      <c r="A291" s="3">
        <v>76</v>
      </c>
      <c r="B291" s="2">
        <v>0.69</v>
      </c>
      <c r="C291" s="2">
        <v>3.6999999999999998E-2</v>
      </c>
      <c r="D291" s="2">
        <v>0.14879999999999999</v>
      </c>
      <c r="E291" s="2">
        <v>3.5700000000000003E-2</v>
      </c>
      <c r="F291" s="2">
        <v>0.1497</v>
      </c>
      <c r="G291" s="2">
        <v>2.2200000000000001E-2</v>
      </c>
      <c r="H291" s="2">
        <v>1.15E-2</v>
      </c>
      <c r="I291" s="2">
        <v>7.9000000000000008E-3</v>
      </c>
    </row>
    <row r="292" spans="1:9" x14ac:dyDescent="0.25">
      <c r="A292" s="3">
        <v>77</v>
      </c>
      <c r="B292" s="2">
        <v>0.6905</v>
      </c>
      <c r="C292" s="2">
        <v>3.7499999999999999E-2</v>
      </c>
      <c r="D292" s="2">
        <v>0.14849999999999999</v>
      </c>
      <c r="E292" s="2">
        <v>3.61E-2</v>
      </c>
      <c r="F292" s="2">
        <v>0.14960000000000001</v>
      </c>
      <c r="G292" s="2">
        <v>2.2499999999999999E-2</v>
      </c>
      <c r="H292" s="2">
        <v>1.14E-2</v>
      </c>
      <c r="I292" s="2">
        <v>8.0000000000000002E-3</v>
      </c>
    </row>
    <row r="293" spans="1:9" x14ac:dyDescent="0.25">
      <c r="A293" s="3">
        <v>78</v>
      </c>
      <c r="B293" s="2">
        <v>0.69099999999999995</v>
      </c>
      <c r="C293" s="2">
        <v>3.7999999999999999E-2</v>
      </c>
      <c r="D293" s="2">
        <v>0.1482</v>
      </c>
      <c r="E293" s="2">
        <v>3.6499999999999998E-2</v>
      </c>
      <c r="F293" s="2">
        <v>0.14940000000000001</v>
      </c>
      <c r="G293" s="2">
        <v>2.2800000000000001E-2</v>
      </c>
      <c r="H293" s="2">
        <v>1.1299999999999999E-2</v>
      </c>
      <c r="I293" s="2">
        <v>8.0000000000000002E-3</v>
      </c>
    </row>
    <row r="294" spans="1:9" x14ac:dyDescent="0.25">
      <c r="A294" s="3">
        <v>80</v>
      </c>
      <c r="B294" s="2">
        <v>0.69210000000000005</v>
      </c>
      <c r="C294" s="2">
        <v>3.8899999999999997E-2</v>
      </c>
      <c r="D294" s="2">
        <v>0.14749999999999999</v>
      </c>
      <c r="E294" s="2">
        <v>3.7400000000000003E-2</v>
      </c>
      <c r="F294" s="2">
        <v>0.1492</v>
      </c>
      <c r="G294" s="2">
        <v>2.3400000000000001E-2</v>
      </c>
      <c r="H294" s="2">
        <v>1.12E-2</v>
      </c>
      <c r="I294" s="2">
        <v>8.2000000000000007E-3</v>
      </c>
    </row>
    <row r="295" spans="1:9" x14ac:dyDescent="0.25">
      <c r="A295" s="3">
        <v>82</v>
      </c>
      <c r="B295" s="2">
        <v>0.69310000000000005</v>
      </c>
      <c r="C295" s="2">
        <v>3.9899999999999998E-2</v>
      </c>
      <c r="D295" s="2">
        <v>0.14680000000000001</v>
      </c>
      <c r="E295" s="2">
        <v>3.8300000000000001E-2</v>
      </c>
      <c r="F295" s="2">
        <v>0.14899999999999999</v>
      </c>
      <c r="G295" s="2">
        <v>2.4E-2</v>
      </c>
      <c r="H295" s="2">
        <v>1.11E-2</v>
      </c>
      <c r="I295" s="2">
        <v>8.3000000000000001E-3</v>
      </c>
    </row>
    <row r="296" spans="1:9" x14ac:dyDescent="0.25">
      <c r="A296" s="3">
        <v>84</v>
      </c>
      <c r="B296" s="2">
        <v>0.69410000000000005</v>
      </c>
      <c r="C296" s="2">
        <v>4.0899999999999999E-2</v>
      </c>
      <c r="D296" s="2">
        <v>0.1462</v>
      </c>
      <c r="E296" s="2">
        <v>3.9199999999999999E-2</v>
      </c>
      <c r="F296" s="2">
        <v>0.14879999999999999</v>
      </c>
      <c r="G296" s="2">
        <v>2.4500000000000001E-2</v>
      </c>
      <c r="H296" s="2">
        <v>1.09E-2</v>
      </c>
      <c r="I296" s="2">
        <v>8.3999999999999995E-3</v>
      </c>
    </row>
    <row r="297" spans="1:9" x14ac:dyDescent="0.25">
      <c r="A297" s="3">
        <v>85</v>
      </c>
      <c r="B297" s="2">
        <v>0.6946</v>
      </c>
      <c r="C297" s="2">
        <v>4.1300000000000003E-2</v>
      </c>
      <c r="D297" s="2">
        <v>0.14580000000000001</v>
      </c>
      <c r="E297" s="2">
        <v>3.9699999999999999E-2</v>
      </c>
      <c r="F297" s="2">
        <v>0.1487</v>
      </c>
      <c r="G297" s="2">
        <v>2.4799999999999999E-2</v>
      </c>
      <c r="H297" s="2">
        <v>1.09E-2</v>
      </c>
      <c r="I297" s="2">
        <v>8.5000000000000006E-3</v>
      </c>
    </row>
    <row r="298" spans="1:9" x14ac:dyDescent="0.25">
      <c r="A298" s="3">
        <v>87</v>
      </c>
      <c r="B298" s="2">
        <v>0.6956</v>
      </c>
      <c r="C298" s="2">
        <v>4.2299999999999997E-2</v>
      </c>
      <c r="D298" s="2">
        <v>0.1452</v>
      </c>
      <c r="E298" s="2">
        <v>4.0599999999999997E-2</v>
      </c>
      <c r="F298" s="2">
        <v>0.1484</v>
      </c>
      <c r="G298" s="2">
        <v>2.5399999999999999E-2</v>
      </c>
      <c r="H298" s="2">
        <v>1.0699999999999999E-2</v>
      </c>
      <c r="I298" s="2">
        <v>8.6E-3</v>
      </c>
    </row>
    <row r="299" spans="1:9" x14ac:dyDescent="0.25">
      <c r="A299" s="3">
        <v>88</v>
      </c>
      <c r="B299" s="2">
        <v>0.69610000000000005</v>
      </c>
      <c r="C299" s="2">
        <v>4.2799999999999998E-2</v>
      </c>
      <c r="D299" s="2">
        <v>0.14480000000000001</v>
      </c>
      <c r="E299" s="2">
        <v>4.1000000000000002E-2</v>
      </c>
      <c r="F299" s="2">
        <v>0.14829999999999999</v>
      </c>
      <c r="G299" s="2">
        <v>2.5700000000000001E-2</v>
      </c>
      <c r="H299" s="2">
        <v>1.0699999999999999E-2</v>
      </c>
      <c r="I299" s="2">
        <v>8.6999999999999994E-3</v>
      </c>
    </row>
    <row r="300" spans="1:9" x14ac:dyDescent="0.25">
      <c r="A300" s="3">
        <v>90</v>
      </c>
      <c r="B300" s="2">
        <v>0.69720000000000004</v>
      </c>
      <c r="C300" s="2">
        <v>4.3799999999999999E-2</v>
      </c>
      <c r="D300" s="2">
        <v>0.14419999999999999</v>
      </c>
      <c r="E300" s="2">
        <v>4.19E-2</v>
      </c>
      <c r="F300" s="2">
        <v>0.14810000000000001</v>
      </c>
      <c r="G300" s="2">
        <v>2.63E-2</v>
      </c>
      <c r="H300" s="2">
        <v>1.06E-2</v>
      </c>
      <c r="I300" s="2">
        <v>8.8000000000000005E-3</v>
      </c>
    </row>
    <row r="301" spans="1:9" x14ac:dyDescent="0.25">
      <c r="A301" s="3">
        <v>91</v>
      </c>
      <c r="B301" s="2">
        <v>0.69769999999999999</v>
      </c>
      <c r="C301" s="2">
        <v>4.4200000000000003E-2</v>
      </c>
      <c r="D301" s="2">
        <v>0.14380000000000001</v>
      </c>
      <c r="E301" s="2">
        <v>4.2299999999999997E-2</v>
      </c>
      <c r="F301" s="2">
        <v>0.14799999999999999</v>
      </c>
      <c r="G301" s="2">
        <v>2.6599999999999999E-2</v>
      </c>
      <c r="H301" s="2">
        <v>1.0500000000000001E-2</v>
      </c>
      <c r="I301" s="2">
        <v>8.8999999999999999E-3</v>
      </c>
    </row>
    <row r="302" spans="1:9" x14ac:dyDescent="0.25">
      <c r="A302" s="3">
        <v>95</v>
      </c>
      <c r="B302" s="2">
        <v>0.69969999999999999</v>
      </c>
      <c r="C302" s="2">
        <v>4.6199999999999998E-2</v>
      </c>
      <c r="D302" s="2">
        <v>0.14249999999999999</v>
      </c>
      <c r="E302" s="2">
        <v>4.41E-2</v>
      </c>
      <c r="F302" s="2">
        <v>0.14749999999999999</v>
      </c>
      <c r="G302" s="2">
        <v>2.7799999999999998E-2</v>
      </c>
      <c r="H302" s="2">
        <v>1.0200000000000001E-2</v>
      </c>
      <c r="I302" s="2">
        <v>9.1000000000000004E-3</v>
      </c>
    </row>
    <row r="303" spans="1:9" x14ac:dyDescent="0.25">
      <c r="A303" s="3">
        <v>96</v>
      </c>
      <c r="B303" s="2">
        <v>0.70020000000000004</v>
      </c>
      <c r="C303" s="2">
        <v>4.6600000000000003E-2</v>
      </c>
      <c r="D303" s="2">
        <v>0.14219999999999999</v>
      </c>
      <c r="E303" s="2">
        <v>4.4499999999999998E-2</v>
      </c>
      <c r="F303" s="2">
        <v>0.1474</v>
      </c>
      <c r="G303" s="2">
        <v>2.8199999999999999E-2</v>
      </c>
      <c r="H303" s="2">
        <v>1.0200000000000001E-2</v>
      </c>
      <c r="I303" s="2">
        <v>9.1999999999999998E-3</v>
      </c>
    </row>
    <row r="304" spans="1:9" x14ac:dyDescent="0.25">
      <c r="A304" s="3">
        <v>97</v>
      </c>
      <c r="B304" s="2">
        <v>0.70069999999999999</v>
      </c>
      <c r="C304" s="2">
        <v>4.7100000000000003E-2</v>
      </c>
      <c r="D304" s="2">
        <v>0.1419</v>
      </c>
      <c r="E304" s="2">
        <v>4.4900000000000002E-2</v>
      </c>
      <c r="F304" s="2">
        <v>0.14729999999999999</v>
      </c>
      <c r="G304" s="2">
        <v>2.8500000000000001E-2</v>
      </c>
      <c r="H304" s="2">
        <v>1.01E-2</v>
      </c>
      <c r="I304" s="2">
        <v>9.1999999999999998E-3</v>
      </c>
    </row>
    <row r="305" spans="1:9" x14ac:dyDescent="0.25">
      <c r="A305" s="3">
        <v>98</v>
      </c>
      <c r="B305" s="2">
        <v>0.70120000000000005</v>
      </c>
      <c r="C305" s="2">
        <v>4.7600000000000003E-2</v>
      </c>
      <c r="D305" s="2">
        <v>0.1416</v>
      </c>
      <c r="E305" s="2">
        <v>4.5400000000000003E-2</v>
      </c>
      <c r="F305" s="2">
        <v>0.1472</v>
      </c>
      <c r="G305" s="2">
        <v>2.8799999999999999E-2</v>
      </c>
      <c r="H305" s="2">
        <v>1.01E-2</v>
      </c>
      <c r="I305" s="2">
        <v>9.2999999999999992E-3</v>
      </c>
    </row>
    <row r="306" spans="1:9" x14ac:dyDescent="0.25">
      <c r="A306" s="3">
        <v>99</v>
      </c>
      <c r="B306" s="2">
        <v>0.70169999999999999</v>
      </c>
      <c r="C306" s="2">
        <v>4.8099999999999997E-2</v>
      </c>
      <c r="D306" s="2">
        <v>0.14119999999999999</v>
      </c>
      <c r="E306" s="2">
        <v>4.58E-2</v>
      </c>
      <c r="F306" s="2">
        <v>0.14710000000000001</v>
      </c>
      <c r="G306" s="2">
        <v>2.9100000000000001E-2</v>
      </c>
      <c r="H306" s="2">
        <v>0.01</v>
      </c>
      <c r="I306" s="2">
        <v>9.2999999999999992E-3</v>
      </c>
    </row>
    <row r="307" spans="1:9" x14ac:dyDescent="0.25">
      <c r="A307" s="3">
        <v>100</v>
      </c>
      <c r="B307" s="2">
        <v>0.70220000000000005</v>
      </c>
      <c r="C307" s="2">
        <v>4.8599999999999997E-2</v>
      </c>
      <c r="D307" s="2">
        <v>0.1409</v>
      </c>
      <c r="E307" s="2">
        <v>4.6199999999999998E-2</v>
      </c>
      <c r="F307" s="2">
        <v>0.14699999999999999</v>
      </c>
      <c r="G307" s="2">
        <v>2.9399999999999999E-2</v>
      </c>
      <c r="H307" s="2">
        <v>9.9000000000000008E-3</v>
      </c>
      <c r="I307" s="2">
        <v>9.4000000000000004E-3</v>
      </c>
    </row>
    <row r="308" spans="1:9" x14ac:dyDescent="0.25">
      <c r="A308" s="38"/>
      <c r="B308" s="39"/>
      <c r="C308" s="39"/>
      <c r="D308" s="39"/>
      <c r="E308" s="39"/>
      <c r="F308" s="39"/>
      <c r="G308" s="39"/>
      <c r="H308" s="39"/>
      <c r="I308" s="40"/>
    </row>
    <row r="309" spans="1:9" x14ac:dyDescent="0.25">
      <c r="A309" s="2"/>
      <c r="B309" s="35" t="s">
        <v>116</v>
      </c>
      <c r="C309" s="36"/>
      <c r="D309" s="36"/>
      <c r="E309" s="36"/>
      <c r="F309" s="36"/>
      <c r="G309" s="36"/>
      <c r="H309" s="36"/>
      <c r="I309" s="37"/>
    </row>
    <row r="310" spans="1:9" x14ac:dyDescent="0.25">
      <c r="A310" s="3" t="s">
        <v>110</v>
      </c>
      <c r="B310" s="3" t="s">
        <v>88</v>
      </c>
      <c r="C310" s="3" t="s">
        <v>105</v>
      </c>
      <c r="D310" s="3" t="s">
        <v>90</v>
      </c>
      <c r="E310" s="3" t="s">
        <v>105</v>
      </c>
      <c r="F310" s="3" t="s">
        <v>91</v>
      </c>
      <c r="G310" s="3" t="s">
        <v>105</v>
      </c>
      <c r="H310" s="3" t="s">
        <v>92</v>
      </c>
      <c r="I310" s="3" t="s">
        <v>105</v>
      </c>
    </row>
    <row r="311" spans="1:9" x14ac:dyDescent="0.25">
      <c r="A311" s="3">
        <v>1</v>
      </c>
      <c r="B311" s="2">
        <v>0.95330000000000004</v>
      </c>
      <c r="C311" s="2" t="s">
        <v>11</v>
      </c>
      <c r="D311" s="2">
        <v>3.6999999999999998E-2</v>
      </c>
      <c r="E311" s="2" t="s">
        <v>11</v>
      </c>
      <c r="F311" s="2">
        <v>9.2999999999999992E-3</v>
      </c>
      <c r="G311" s="2" t="s">
        <v>11</v>
      </c>
      <c r="H311" s="2">
        <v>5.0000000000000001E-4</v>
      </c>
      <c r="I311" s="2" t="s">
        <v>11</v>
      </c>
    </row>
    <row r="312" spans="1:9" x14ac:dyDescent="0.25">
      <c r="A312" s="3">
        <v>2</v>
      </c>
      <c r="B312" s="2">
        <v>0.14610000000000001</v>
      </c>
      <c r="C312" s="2" t="s">
        <v>11</v>
      </c>
      <c r="D312" s="2">
        <v>0.80300000000000005</v>
      </c>
      <c r="E312" s="2" t="s">
        <v>11</v>
      </c>
      <c r="F312" s="2">
        <v>5.0700000000000002E-2</v>
      </c>
      <c r="G312" s="2" t="s">
        <v>11</v>
      </c>
      <c r="H312" s="2">
        <v>2.0000000000000001E-4</v>
      </c>
      <c r="I312" s="2" t="s">
        <v>11</v>
      </c>
    </row>
    <row r="313" spans="1:9" x14ac:dyDescent="0.25">
      <c r="A313" s="3">
        <v>3</v>
      </c>
      <c r="B313" s="2">
        <v>3.95E-2</v>
      </c>
      <c r="C313" s="2" t="s">
        <v>11</v>
      </c>
      <c r="D313" s="2">
        <v>5.4800000000000001E-2</v>
      </c>
      <c r="E313" s="2" t="s">
        <v>11</v>
      </c>
      <c r="F313" s="2">
        <v>0.90269999999999995</v>
      </c>
      <c r="G313" s="2" t="s">
        <v>11</v>
      </c>
      <c r="H313" s="2">
        <v>3.0000000000000001E-3</v>
      </c>
      <c r="I313" s="2" t="s">
        <v>11</v>
      </c>
    </row>
    <row r="314" spans="1:9" x14ac:dyDescent="0.25">
      <c r="A314" s="3">
        <v>4</v>
      </c>
      <c r="B314" s="2">
        <v>2.06E-2</v>
      </c>
      <c r="C314" s="2" t="s">
        <v>11</v>
      </c>
      <c r="D314" s="2">
        <v>2.0999999999999999E-3</v>
      </c>
      <c r="E314" s="2" t="s">
        <v>11</v>
      </c>
      <c r="F314" s="2">
        <v>2.9399999999999999E-2</v>
      </c>
      <c r="G314" s="2" t="s">
        <v>11</v>
      </c>
      <c r="H314" s="2">
        <v>0.94789999999999996</v>
      </c>
      <c r="I314" s="2" t="s">
        <v>11</v>
      </c>
    </row>
  </sheetData>
  <mergeCells count="5">
    <mergeCell ref="A3:F3"/>
    <mergeCell ref="B69:F69"/>
    <mergeCell ref="B216:I216"/>
    <mergeCell ref="A308:I308"/>
    <mergeCell ref="B309:I309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P204"/>
  <sheetViews>
    <sheetView workbookViewId="0"/>
  </sheetViews>
  <sheetFormatPr defaultColWidth="36.28515625" defaultRowHeight="15" x14ac:dyDescent="0.25"/>
  <sheetData>
    <row r="1" spans="1:6" ht="37.5" x14ac:dyDescent="0.25">
      <c r="A1" s="1" t="s">
        <v>177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13356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15.360799999999999</v>
      </c>
      <c r="C7" s="2"/>
      <c r="D7" s="2"/>
      <c r="E7" s="2"/>
      <c r="F7" s="2"/>
    </row>
    <row r="8" spans="1:6" x14ac:dyDescent="0.25">
      <c r="A8" s="3" t="s">
        <v>4</v>
      </c>
      <c r="B8" s="2">
        <v>15.360799999999999</v>
      </c>
      <c r="C8" s="2"/>
      <c r="D8" s="2"/>
      <c r="E8" s="2"/>
      <c r="F8" s="2"/>
    </row>
    <row r="9" spans="1:6" x14ac:dyDescent="0.25">
      <c r="A9" s="3" t="s">
        <v>5</v>
      </c>
      <c r="B9" s="2">
        <v>237599</v>
      </c>
      <c r="C9" s="2"/>
      <c r="D9" s="2"/>
      <c r="E9" s="2"/>
      <c r="F9" s="2"/>
    </row>
    <row r="10" spans="1:6" x14ac:dyDescent="0.25">
      <c r="A10" s="3" t="s">
        <v>6</v>
      </c>
      <c r="B10" s="2">
        <v>237599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-12461.1232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-12461.1232</v>
      </c>
      <c r="C27" s="2"/>
      <c r="D27" s="2"/>
      <c r="E27" s="2"/>
      <c r="F27" s="2"/>
    </row>
    <row r="28" spans="1:6" x14ac:dyDescent="0.25">
      <c r="A28" s="3" t="s">
        <v>24</v>
      </c>
      <c r="B28" s="2">
        <v>24979.244600000002</v>
      </c>
      <c r="C28" s="2"/>
      <c r="D28" s="2"/>
      <c r="E28" s="2"/>
      <c r="F28" s="2"/>
    </row>
    <row r="29" spans="1:6" x14ac:dyDescent="0.25">
      <c r="A29" s="3" t="s">
        <v>25</v>
      </c>
      <c r="B29" s="2">
        <v>24934.246299999999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24940.246299999999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24985.244600000002</v>
      </c>
      <c r="C31" s="2"/>
      <c r="D31" s="2"/>
      <c r="E31" s="2"/>
      <c r="F31" s="2"/>
    </row>
    <row r="32" spans="1:6" x14ac:dyDescent="0.25">
      <c r="A32" s="3" t="s">
        <v>28</v>
      </c>
      <c r="B32" s="2">
        <v>24960.177199999998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0.34210000000000002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1.6999999999999999E-3</v>
      </c>
      <c r="C38" s="2"/>
      <c r="D38" s="2"/>
      <c r="E38" s="2"/>
      <c r="F38" s="2"/>
    </row>
    <row r="39" spans="1:6" x14ac:dyDescent="0.25">
      <c r="A39" s="3" t="s">
        <v>33</v>
      </c>
      <c r="B39" s="2">
        <v>2E-3</v>
      </c>
      <c r="C39" s="2"/>
      <c r="D39" s="2"/>
      <c r="E39" s="2"/>
      <c r="F39" s="2"/>
    </row>
    <row r="40" spans="1:6" x14ac:dyDescent="0.25">
      <c r="A40" s="3" t="s">
        <v>34</v>
      </c>
      <c r="B40" s="2">
        <v>-24916.862099999998</v>
      </c>
      <c r="C40" s="2"/>
      <c r="D40" s="2"/>
      <c r="E40" s="2"/>
      <c r="F40" s="2"/>
    </row>
    <row r="41" spans="1:6" x14ac:dyDescent="0.25">
      <c r="A41" s="3" t="s">
        <v>35</v>
      </c>
      <c r="B41" s="2">
        <v>12455.739</v>
      </c>
      <c r="C41" s="2"/>
      <c r="D41" s="2"/>
      <c r="E41" s="2"/>
      <c r="F41" s="2"/>
    </row>
    <row r="42" spans="1:6" x14ac:dyDescent="0.25">
      <c r="A42" s="3" t="s">
        <v>36</v>
      </c>
      <c r="B42" s="2">
        <v>49833.724300000002</v>
      </c>
      <c r="C42" s="2"/>
      <c r="D42" s="2"/>
      <c r="E42" s="2"/>
      <c r="F42" s="2"/>
    </row>
    <row r="43" spans="1:6" x14ac:dyDescent="0.25">
      <c r="A43" s="3" t="s">
        <v>37</v>
      </c>
      <c r="B43" s="2">
        <v>49965.7209</v>
      </c>
      <c r="C43" s="2"/>
      <c r="D43" s="2"/>
      <c r="E43" s="2"/>
      <c r="F43" s="2"/>
    </row>
    <row r="44" spans="1:6" x14ac:dyDescent="0.25">
      <c r="A44" s="3" t="s">
        <v>38</v>
      </c>
      <c r="B44" s="2">
        <v>49890.722600000001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8787.3384999999998</v>
      </c>
      <c r="C48" s="2">
        <v>0</v>
      </c>
      <c r="D48" s="2">
        <v>0</v>
      </c>
      <c r="E48" s="2">
        <v>0</v>
      </c>
      <c r="F48" s="2">
        <v>8787.3384999999998</v>
      </c>
    </row>
    <row r="49" spans="1:6" x14ac:dyDescent="0.25">
      <c r="A49" s="3" t="s">
        <v>43</v>
      </c>
      <c r="B49" s="2">
        <v>2201.7087999999999</v>
      </c>
      <c r="C49" s="2">
        <v>0</v>
      </c>
      <c r="D49" s="2">
        <v>0</v>
      </c>
      <c r="E49" s="2">
        <v>0</v>
      </c>
      <c r="F49" s="2">
        <v>2201.7087999999999</v>
      </c>
    </row>
    <row r="50" spans="1:6" x14ac:dyDescent="0.25">
      <c r="A50" s="3" t="s">
        <v>44</v>
      </c>
      <c r="B50" s="2">
        <v>2146.5241000000001</v>
      </c>
      <c r="C50" s="2">
        <v>0</v>
      </c>
      <c r="D50" s="2">
        <v>0</v>
      </c>
      <c r="E50" s="2">
        <v>0</v>
      </c>
      <c r="F50" s="2">
        <v>2146.5241000000001</v>
      </c>
    </row>
    <row r="51" spans="1:6" x14ac:dyDescent="0.25">
      <c r="A51" s="3" t="s">
        <v>45</v>
      </c>
      <c r="B51" s="2">
        <v>220.42859999999999</v>
      </c>
      <c r="C51" s="2">
        <v>0</v>
      </c>
      <c r="D51" s="2">
        <v>0</v>
      </c>
      <c r="E51" s="2">
        <v>0</v>
      </c>
      <c r="F51" s="2">
        <v>220.42859999999999</v>
      </c>
    </row>
    <row r="52" spans="1:6" x14ac:dyDescent="0.25">
      <c r="A52" s="3" t="s">
        <v>46</v>
      </c>
      <c r="B52" s="2">
        <v>13356</v>
      </c>
      <c r="C52" s="2">
        <v>0</v>
      </c>
      <c r="D52" s="2">
        <v>0</v>
      </c>
      <c r="E52" s="2">
        <v>0</v>
      </c>
      <c r="F52" s="2">
        <v>13356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5790.5591000000004</v>
      </c>
      <c r="C56" s="2">
        <v>1444.1259</v>
      </c>
      <c r="D56" s="2">
        <v>1407.8484000000001</v>
      </c>
      <c r="E56" s="2">
        <v>144.80510000000001</v>
      </c>
      <c r="F56" s="2">
        <v>8787.3384999999998</v>
      </c>
    </row>
    <row r="57" spans="1:6" x14ac:dyDescent="0.25">
      <c r="A57" s="3" t="s">
        <v>43</v>
      </c>
      <c r="B57" s="2">
        <v>1444.1259</v>
      </c>
      <c r="C57" s="2">
        <v>365.12450000000001</v>
      </c>
      <c r="D57" s="2">
        <v>356.01260000000002</v>
      </c>
      <c r="E57" s="2">
        <v>36.445799999999998</v>
      </c>
      <c r="F57" s="2">
        <v>2201.7087999999999</v>
      </c>
    </row>
    <row r="58" spans="1:6" x14ac:dyDescent="0.25">
      <c r="A58" s="3" t="s">
        <v>44</v>
      </c>
      <c r="B58" s="2">
        <v>1407.8484000000001</v>
      </c>
      <c r="C58" s="2">
        <v>356.01260000000002</v>
      </c>
      <c r="D58" s="2">
        <v>347.12880000000001</v>
      </c>
      <c r="E58" s="2">
        <v>35.534300000000002</v>
      </c>
      <c r="F58" s="2">
        <v>2146.5241000000001</v>
      </c>
    </row>
    <row r="59" spans="1:6" x14ac:dyDescent="0.25">
      <c r="A59" s="3" t="s">
        <v>45</v>
      </c>
      <c r="B59" s="2">
        <v>144.80510000000001</v>
      </c>
      <c r="C59" s="2">
        <v>36.445799999999998</v>
      </c>
      <c r="D59" s="2">
        <v>35.534300000000002</v>
      </c>
      <c r="E59" s="2">
        <v>3.6434000000000002</v>
      </c>
      <c r="F59" s="2">
        <v>220.42859999999999</v>
      </c>
    </row>
    <row r="60" spans="1:6" x14ac:dyDescent="0.25">
      <c r="A60" s="3" t="s">
        <v>46</v>
      </c>
      <c r="B60" s="2">
        <v>8787.3384999999998</v>
      </c>
      <c r="C60" s="2">
        <v>2201.7087999999999</v>
      </c>
      <c r="D60" s="2">
        <v>2146.5241000000001</v>
      </c>
      <c r="E60" s="2">
        <v>220.42859999999999</v>
      </c>
      <c r="F60" s="2">
        <v>13356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0.34210000000000002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1.6999999999999999E-3</v>
      </c>
      <c r="C65" s="2"/>
      <c r="D65" s="2"/>
      <c r="E65" s="2"/>
      <c r="F65" s="2"/>
    </row>
    <row r="66" spans="1:6" x14ac:dyDescent="0.25">
      <c r="A66" s="3" t="s">
        <v>33</v>
      </c>
      <c r="B66" s="2">
        <v>2E-3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237599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13356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710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710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710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710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178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1.7041999999999999</v>
      </c>
      <c r="C148" s="2">
        <v>0.13619999999999999</v>
      </c>
      <c r="D148" s="2">
        <v>12.507999999999999</v>
      </c>
      <c r="E148" s="2">
        <v>0.19220000000000001</v>
      </c>
      <c r="F148" s="2">
        <v>0.18390000000000001</v>
      </c>
      <c r="G148" s="2">
        <v>1.0450999999999999</v>
      </c>
      <c r="H148" s="2">
        <v>0.16489999999999999</v>
      </c>
      <c r="I148" s="2">
        <v>0.16039999999999999</v>
      </c>
      <c r="J148" s="2">
        <v>1.0279</v>
      </c>
      <c r="K148" s="2">
        <v>-2.0613999999999999</v>
      </c>
      <c r="L148" s="2">
        <v>0.34939999999999999</v>
      </c>
      <c r="M148" s="2">
        <v>-5.8997999999999999</v>
      </c>
      <c r="N148" s="2">
        <v>212.1764</v>
      </c>
      <c r="O148" s="4">
        <v>9.8000000000000002E-46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178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-0.1163</v>
      </c>
      <c r="C152" s="2">
        <v>0.13550000000000001</v>
      </c>
      <c r="D152" s="2">
        <v>-0.85799999999999998</v>
      </c>
      <c r="E152" s="2">
        <v>5.8999999999999997E-2</v>
      </c>
      <c r="F152" s="2">
        <v>0.18440000000000001</v>
      </c>
      <c r="G152" s="2">
        <v>0.32019999999999998</v>
      </c>
      <c r="H152" s="2">
        <v>6.1499999999999999E-2</v>
      </c>
      <c r="I152" s="2">
        <v>0.15989999999999999</v>
      </c>
      <c r="J152" s="2">
        <v>0.38469999999999999</v>
      </c>
      <c r="K152" s="2">
        <v>-4.3E-3</v>
      </c>
      <c r="L152" s="2">
        <v>0.34939999999999999</v>
      </c>
      <c r="M152" s="2">
        <v>-1.23E-2</v>
      </c>
      <c r="N152" s="2">
        <v>2.2221000000000002</v>
      </c>
      <c r="O152" s="2">
        <v>0.53</v>
      </c>
      <c r="P152" s="2"/>
    </row>
    <row r="153" spans="1:16" x14ac:dyDescent="0.25">
      <c r="A153" s="3">
        <v>100</v>
      </c>
      <c r="B153" s="2">
        <v>0.1163</v>
      </c>
      <c r="C153" s="2">
        <v>0.13550000000000001</v>
      </c>
      <c r="D153" s="2">
        <v>0.85799999999999998</v>
      </c>
      <c r="E153" s="2">
        <v>-5.8999999999999997E-2</v>
      </c>
      <c r="F153" s="2">
        <v>0.18440000000000001</v>
      </c>
      <c r="G153" s="2">
        <v>-0.32019999999999998</v>
      </c>
      <c r="H153" s="2">
        <v>-6.1499999999999999E-2</v>
      </c>
      <c r="I153" s="2">
        <v>0.15989999999999999</v>
      </c>
      <c r="J153" s="2">
        <v>-0.38469999999999999</v>
      </c>
      <c r="K153" s="2">
        <v>4.3E-3</v>
      </c>
      <c r="L153" s="2">
        <v>0.34939999999999999</v>
      </c>
      <c r="M153" s="2">
        <v>1.23E-2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60.2744</v>
      </c>
      <c r="E160" s="2">
        <v>1</v>
      </c>
      <c r="F160" s="4">
        <v>8.3E-15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114.0757</v>
      </c>
      <c r="E161" s="2">
        <v>1</v>
      </c>
      <c r="F161" s="4">
        <v>1.3000000000000001E-26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65.715699999999998</v>
      </c>
      <c r="E162" s="2">
        <v>1</v>
      </c>
      <c r="F162" s="4">
        <v>5.1999999999999997E-16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1.3899999999999999E-2</v>
      </c>
      <c r="E163" s="2">
        <v>1</v>
      </c>
      <c r="F163" s="2">
        <v>0.91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20.8171</v>
      </c>
      <c r="E164" s="2">
        <v>1</v>
      </c>
      <c r="F164" s="4">
        <v>5.1000000000000003E-6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21.663900000000002</v>
      </c>
      <c r="E165" s="2">
        <v>1</v>
      </c>
      <c r="F165" s="4">
        <v>3.1999999999999999E-6</v>
      </c>
    </row>
    <row r="166" spans="1:9" x14ac:dyDescent="0.25">
      <c r="A166" s="3" t="s">
        <v>178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0.81100000000000005</v>
      </c>
      <c r="E167" s="2">
        <v>1</v>
      </c>
      <c r="F167" s="2">
        <v>0.37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1.5619000000000001</v>
      </c>
      <c r="E168" s="2">
        <v>1</v>
      </c>
      <c r="F168" s="2">
        <v>0.21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5.8200000000000002E-2</v>
      </c>
      <c r="E169" s="2">
        <v>1</v>
      </c>
      <c r="F169" s="2">
        <v>0.81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1E-4</v>
      </c>
      <c r="E170" s="2">
        <v>1</v>
      </c>
      <c r="F170" s="2">
        <v>0.99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1.6400000000000001E-2</v>
      </c>
      <c r="E171" s="2">
        <v>1</v>
      </c>
      <c r="F171" s="2">
        <v>0.9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1.9E-2</v>
      </c>
      <c r="E172" s="2">
        <v>1</v>
      </c>
      <c r="F172" s="2">
        <v>0.89</v>
      </c>
    </row>
    <row r="174" spans="1:9" ht="18.75" x14ac:dyDescent="0.25">
      <c r="A174" s="1" t="s">
        <v>111</v>
      </c>
    </row>
    <row r="176" spans="1:9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0.65790000000000004</v>
      </c>
      <c r="C177" s="2">
        <v>1.9E-2</v>
      </c>
      <c r="D177" s="2">
        <v>0.1648</v>
      </c>
      <c r="E177" s="2">
        <v>1.61E-2</v>
      </c>
      <c r="F177" s="2">
        <v>0.16070000000000001</v>
      </c>
      <c r="G177" s="2">
        <v>1.4E-2</v>
      </c>
      <c r="H177" s="2">
        <v>1.6500000000000001E-2</v>
      </c>
      <c r="I177" s="2">
        <v>4.4999999999999997E-3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178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0.84340000000000004</v>
      </c>
      <c r="C180" s="2" t="s">
        <v>11</v>
      </c>
      <c r="D180" s="2">
        <v>0.88439999999999996</v>
      </c>
      <c r="E180" s="2" t="s">
        <v>11</v>
      </c>
      <c r="F180" s="2">
        <v>0.88490000000000002</v>
      </c>
      <c r="G180" s="2" t="s">
        <v>11</v>
      </c>
      <c r="H180" s="2">
        <v>0.87080000000000002</v>
      </c>
      <c r="I180" s="2" t="s">
        <v>11</v>
      </c>
    </row>
    <row r="181" spans="1:9" x14ac:dyDescent="0.25">
      <c r="A181" s="3">
        <v>100</v>
      </c>
      <c r="B181" s="2">
        <v>0.15659999999999999</v>
      </c>
      <c r="C181" s="2" t="s">
        <v>11</v>
      </c>
      <c r="D181" s="2">
        <v>0.11559999999999999</v>
      </c>
      <c r="E181" s="2" t="s">
        <v>11</v>
      </c>
      <c r="F181" s="2">
        <v>0.11509999999999999</v>
      </c>
      <c r="G181" s="2" t="s">
        <v>11</v>
      </c>
      <c r="H181" s="2">
        <v>0.12920000000000001</v>
      </c>
      <c r="I181" s="2" t="s">
        <v>11</v>
      </c>
    </row>
    <row r="183" spans="1:9" ht="18.75" x14ac:dyDescent="0.25">
      <c r="A183" s="1" t="s">
        <v>113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0.65790000000000004</v>
      </c>
      <c r="C186" s="2">
        <v>0.1648</v>
      </c>
      <c r="D186" s="2">
        <v>0.16070000000000001</v>
      </c>
      <c r="E186" s="2">
        <v>1.6500000000000001E-2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178</v>
      </c>
      <c r="B188" s="2"/>
      <c r="C188" s="2"/>
      <c r="D188" s="2"/>
      <c r="E188" s="2"/>
    </row>
    <row r="189" spans="1:9" x14ac:dyDescent="0.25">
      <c r="A189" s="3">
        <v>0</v>
      </c>
      <c r="B189" s="2">
        <v>0.64729999999999999</v>
      </c>
      <c r="C189" s="2">
        <v>0.1701</v>
      </c>
      <c r="D189" s="2">
        <v>0.16589999999999999</v>
      </c>
      <c r="E189" s="2">
        <v>1.6799999999999999E-2</v>
      </c>
    </row>
    <row r="190" spans="1:9" x14ac:dyDescent="0.25">
      <c r="A190" s="3">
        <v>100</v>
      </c>
      <c r="B190" s="2">
        <v>0.72189999999999999</v>
      </c>
      <c r="C190" s="2">
        <v>0.1336</v>
      </c>
      <c r="D190" s="2">
        <v>0.12959999999999999</v>
      </c>
      <c r="E190" s="2">
        <v>1.49E-2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178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>
        <v>0</v>
      </c>
      <c r="B196" s="2">
        <v>0.64729999999999999</v>
      </c>
      <c r="C196" s="2">
        <v>2.06E-2</v>
      </c>
      <c r="D196" s="2">
        <v>0.1701</v>
      </c>
      <c r="E196" s="2">
        <v>1.7500000000000002E-2</v>
      </c>
      <c r="F196" s="2">
        <v>0.16589999999999999</v>
      </c>
      <c r="G196" s="2">
        <v>1.55E-2</v>
      </c>
      <c r="H196" s="2">
        <v>1.6799999999999999E-2</v>
      </c>
      <c r="I196" s="2">
        <v>4.7999999999999996E-3</v>
      </c>
    </row>
    <row r="197" spans="1:9" x14ac:dyDescent="0.25">
      <c r="A197" s="3">
        <v>100</v>
      </c>
      <c r="B197" s="2">
        <v>0.72189999999999999</v>
      </c>
      <c r="C197" s="2">
        <v>4.6300000000000001E-2</v>
      </c>
      <c r="D197" s="2">
        <v>0.1336</v>
      </c>
      <c r="E197" s="2">
        <v>4.2500000000000003E-2</v>
      </c>
      <c r="F197" s="2">
        <v>0.12959999999999999</v>
      </c>
      <c r="G197" s="2">
        <v>2.9899999999999999E-2</v>
      </c>
      <c r="H197" s="2">
        <v>1.49E-2</v>
      </c>
      <c r="I197" s="2">
        <v>1.2999999999999999E-2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0.95320000000000005</v>
      </c>
      <c r="C201" s="2" t="s">
        <v>11</v>
      </c>
      <c r="D201" s="2">
        <v>3.6900000000000002E-2</v>
      </c>
      <c r="E201" s="2" t="s">
        <v>11</v>
      </c>
      <c r="F201" s="2">
        <v>9.4999999999999998E-3</v>
      </c>
      <c r="G201" s="2" t="s">
        <v>11</v>
      </c>
      <c r="H201" s="2">
        <v>5.0000000000000001E-4</v>
      </c>
      <c r="I201" s="2" t="s">
        <v>11</v>
      </c>
    </row>
    <row r="202" spans="1:9" x14ac:dyDescent="0.25">
      <c r="A202" s="3">
        <v>2</v>
      </c>
      <c r="B202" s="2">
        <v>0.14710000000000001</v>
      </c>
      <c r="C202" s="2" t="s">
        <v>11</v>
      </c>
      <c r="D202" s="2">
        <v>0.80159999999999998</v>
      </c>
      <c r="E202" s="2" t="s">
        <v>11</v>
      </c>
      <c r="F202" s="2">
        <v>5.1200000000000002E-2</v>
      </c>
      <c r="G202" s="2" t="s">
        <v>11</v>
      </c>
      <c r="H202" s="2">
        <v>2.0000000000000001E-4</v>
      </c>
      <c r="I202" s="2" t="s">
        <v>11</v>
      </c>
    </row>
    <row r="203" spans="1:9" x14ac:dyDescent="0.25">
      <c r="A203" s="3">
        <v>3</v>
      </c>
      <c r="B203" s="2">
        <v>3.8800000000000001E-2</v>
      </c>
      <c r="C203" s="2" t="s">
        <v>11</v>
      </c>
      <c r="D203" s="2">
        <v>5.2499999999999998E-2</v>
      </c>
      <c r="E203" s="2" t="s">
        <v>11</v>
      </c>
      <c r="F203" s="2">
        <v>0.90569999999999995</v>
      </c>
      <c r="G203" s="2" t="s">
        <v>11</v>
      </c>
      <c r="H203" s="2">
        <v>3.0000000000000001E-3</v>
      </c>
      <c r="I203" s="2" t="s">
        <v>11</v>
      </c>
    </row>
    <row r="204" spans="1:9" x14ac:dyDescent="0.25">
      <c r="A204" s="3">
        <v>4</v>
      </c>
      <c r="B204" s="2">
        <v>1.9099999999999999E-2</v>
      </c>
      <c r="C204" s="2" t="s">
        <v>11</v>
      </c>
      <c r="D204" s="2">
        <v>1.6000000000000001E-3</v>
      </c>
      <c r="E204" s="2" t="s">
        <v>11</v>
      </c>
      <c r="F204" s="2">
        <v>2.9399999999999999E-2</v>
      </c>
      <c r="G204" s="2" t="s">
        <v>11</v>
      </c>
      <c r="H204" s="2">
        <v>0.94989999999999997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436"/>
  <sheetViews>
    <sheetView zoomScale="55" zoomScaleNormal="55" workbookViewId="0">
      <selection activeCell="AJ9" sqref="AJ9"/>
    </sheetView>
  </sheetViews>
  <sheetFormatPr defaultRowHeight="15" x14ac:dyDescent="0.25"/>
  <cols>
    <col min="1" max="1" width="15.5703125" bestFit="1" customWidth="1"/>
    <col min="14" max="14" width="15.5703125" bestFit="1" customWidth="1"/>
    <col min="27" max="27" width="18.85546875" bestFit="1" customWidth="1"/>
    <col min="39" max="39" width="16.42578125" bestFit="1" customWidth="1"/>
    <col min="40" max="43" width="9.28515625" customWidth="1"/>
    <col min="52" max="52" width="18.85546875" bestFit="1" customWidth="1"/>
    <col min="55" max="55" width="16.42578125" bestFit="1" customWidth="1"/>
  </cols>
  <sheetData>
    <row r="1" spans="1:68" x14ac:dyDescent="0.25">
      <c r="A1" t="s">
        <v>142</v>
      </c>
      <c r="B1">
        <v>154</v>
      </c>
      <c r="D1" s="12" t="s">
        <v>147</v>
      </c>
      <c r="N1" t="s">
        <v>150</v>
      </c>
      <c r="O1">
        <v>155</v>
      </c>
      <c r="Q1" s="13" t="s">
        <v>156</v>
      </c>
      <c r="AA1" t="s">
        <v>158</v>
      </c>
      <c r="AB1">
        <v>154</v>
      </c>
      <c r="AM1" t="s">
        <v>117</v>
      </c>
      <c r="AN1">
        <v>156</v>
      </c>
      <c r="BC1" t="s">
        <v>132</v>
      </c>
      <c r="BD1">
        <v>186</v>
      </c>
      <c r="BK1" t="s">
        <v>139</v>
      </c>
      <c r="BL1">
        <v>170</v>
      </c>
    </row>
    <row r="2" spans="1:68" x14ac:dyDescent="0.25">
      <c r="D2" s="12" t="s">
        <v>148</v>
      </c>
    </row>
    <row r="3" spans="1:68" x14ac:dyDescent="0.25">
      <c r="A3" s="6" t="s">
        <v>102</v>
      </c>
      <c r="B3" s="6" t="str">
        <f ca="1">INDIRECT(CONCATENATE("'",$A$1,"'!B")&amp;($B$1-2))</f>
        <v>Cluster1</v>
      </c>
      <c r="C3" s="6" t="str">
        <f ca="1">INDIRECT(CONCATENATE("'",$A$1,"'!E")&amp;($B$1-2))</f>
        <v>Cluster2</v>
      </c>
      <c r="D3" s="6" t="str">
        <f ca="1">INDIRECT(CONCATENATE("'",$A$1,"'!H")&amp;($B$1-2))</f>
        <v>Cluster3</v>
      </c>
      <c r="E3" s="6" t="str">
        <f ca="1">INDIRECT(CONCATENATE("'",$A$1,"'!K")&amp;($B$1-2))</f>
        <v>Cluster4</v>
      </c>
      <c r="N3" s="6" t="s">
        <v>102</v>
      </c>
      <c r="O3" s="6" t="str">
        <f ca="1">INDIRECT(CONCATENATE("'",$N$1,"'!B")&amp;($O$1-2))</f>
        <v>Cluster1</v>
      </c>
      <c r="P3" s="6" t="str">
        <f ca="1">INDIRECT(CONCATENATE("'",$N$1,"'!E")&amp;($O$1-2))</f>
        <v>Cluster2</v>
      </c>
      <c r="Q3" s="6" t="str">
        <f ca="1">INDIRECT(CONCATENATE("'",$N$1,"'!H")&amp;($O$1-2))</f>
        <v>Cluster3</v>
      </c>
      <c r="R3" s="6" t="str">
        <f ca="1">INDIRECT(CONCATENATE("'",$N$1,"'!K")&amp;($O$1-2))</f>
        <v>Cluster4</v>
      </c>
      <c r="AA3" s="6" t="s">
        <v>102</v>
      </c>
      <c r="AB3" s="6" t="str">
        <f ca="1">INDIRECT(CONCATENATE("'",$AA$1,"'!B")&amp;($AB$1-2))</f>
        <v>Cluster1</v>
      </c>
      <c r="AC3" s="6" t="str">
        <f ca="1">INDIRECT(CONCATENATE("'",$AA$1,"'!E")&amp;($AB$1-2))</f>
        <v>Cluster2</v>
      </c>
      <c r="AD3" s="6" t="str">
        <f ca="1">INDIRECT(CONCATENATE("'",$AA$1,"'!H")&amp;($AB$1-2))</f>
        <v>Cluster3</v>
      </c>
      <c r="AE3" s="6" t="str">
        <f ca="1">INDIRECT(CONCATENATE("'",$AA$1,"'!K")&amp;($AB$1-2))</f>
        <v>Cluster4</v>
      </c>
      <c r="AM3" s="6" t="s">
        <v>102</v>
      </c>
      <c r="AN3" s="6" t="str">
        <f ca="1">INDIRECT(CONCATENATE("'",$AM$1,"'!B")&amp;($AN$1-2))</f>
        <v>Cluster1</v>
      </c>
      <c r="AO3" s="6" t="str">
        <f ca="1">INDIRECT(CONCATENATE("'",$AM$1,"'!E")&amp;($AN$1-2))</f>
        <v>Cluster2</v>
      </c>
      <c r="AP3" s="6" t="str">
        <f ca="1">INDIRECT(CONCATENATE("'",$AM$1,"'!H")&amp;($AN$1-2))</f>
        <v>Cluster3</v>
      </c>
      <c r="AQ3" s="6" t="str">
        <f ca="1">INDIRECT(CONCATENATE("'",$AM$1,"'!K")&amp;($AN$1-2))</f>
        <v>Cluster4</v>
      </c>
      <c r="AZ3" s="6"/>
      <c r="BC3" s="6" t="s">
        <v>102</v>
      </c>
      <c r="BD3" s="6" t="str">
        <f ca="1">INDIRECT(CONCATENATE("'",$BC$1,"'!B")&amp;($BD$1-2))</f>
        <v>Cluster1</v>
      </c>
      <c r="BE3" s="6" t="str">
        <f ca="1">INDIRECT(CONCATENATE("'",$BC$1,"'!E")&amp;($BD$1-2))</f>
        <v>Cluster2</v>
      </c>
      <c r="BF3" s="6" t="str">
        <f ca="1">INDIRECT(CONCATENATE("'",$BC$1,"'!H")&amp;($BD$1-2))</f>
        <v>Cluster3</v>
      </c>
      <c r="BG3" s="6" t="str">
        <f ca="1">INDIRECT(CONCATENATE("'",$BC$1,"'!K")&amp;($BD$1-2))</f>
        <v>Cluster4</v>
      </c>
      <c r="BK3" t="s">
        <v>102</v>
      </c>
      <c r="BL3" s="6" t="str">
        <f ca="1">INDIRECT(CONCATENATE("'",$BK$1,"'!B")&amp;($BL$1-2))</f>
        <v>Cluster1</v>
      </c>
      <c r="BM3" s="6" t="str">
        <f ca="1">INDIRECT(CONCATENATE("'",$BK$1,"'!E")&amp;($BL$1-2))</f>
        <v>Cluster2</v>
      </c>
      <c r="BN3" s="6" t="str">
        <f ca="1">INDIRECT(CONCATENATE("'",$BK$1,"'!H")&amp;($BL$1-2))</f>
        <v>Cluster3</v>
      </c>
      <c r="BO3" s="6" t="str">
        <f ca="1">INDIRECT(CONCATENATE("'",$BK$1,"'!K")&amp;($BL$1-2))</f>
        <v>Cluster4</v>
      </c>
    </row>
    <row r="4" spans="1:68" x14ac:dyDescent="0.25">
      <c r="A4" s="6" t="str">
        <f ca="1">INDIRECT(CONCATENATE("'",$A$1,"'!A")&amp;($B$1))</f>
        <v>Strongly disagree</v>
      </c>
      <c r="B4">
        <f ca="1">INDIRECT(CONCATENATE("'",$A$1,"'!B")&amp;($B$1))</f>
        <v>0.29459999999999997</v>
      </c>
      <c r="C4">
        <f ca="1">INDIRECT(CONCATENATE("'",$A$1,"'!E")&amp;($B$1))</f>
        <v>-1.7399999999999999E-2</v>
      </c>
      <c r="D4">
        <f ca="1">INDIRECT(CONCATENATE("'",$A$1,"'!H")&amp;($B$1))</f>
        <v>-0.38040000000000002</v>
      </c>
      <c r="E4">
        <f ca="1">INDIRECT(CONCATENATE("'",$A$1,"'!K")&amp;($B$1))</f>
        <v>0.1032</v>
      </c>
      <c r="F4" t="s">
        <v>118</v>
      </c>
      <c r="N4" s="6" t="str">
        <f ca="1">INDIRECT(CONCATENATE("'",$N$1,"'!A")&amp;($O$1))</f>
        <v>No obstacle</v>
      </c>
      <c r="O4">
        <f ca="1">INDIRECT(CONCATENATE("'",$N$1,"'!B")&amp;($O$1))</f>
        <v>0.44440000000000002</v>
      </c>
      <c r="P4">
        <f ca="1">INDIRECT(CONCATENATE("'",$N$1,"'!E")&amp;($O$1))</f>
        <v>-0.13300000000000001</v>
      </c>
      <c r="Q4">
        <f ca="1">INDIRECT(CONCATENATE("'",$N$1,"'!H")&amp;($O$1))</f>
        <v>-0.28349999999999997</v>
      </c>
      <c r="R4">
        <f ca="1">INDIRECT(CONCATENATE("'",$N$1,"'!K")&amp;($O$1))</f>
        <v>-2.7900000000000001E-2</v>
      </c>
      <c r="S4" t="s">
        <v>118</v>
      </c>
      <c r="AA4" s="6" t="str">
        <f ca="1">INDIRECT(CONCATENATE("'",$AA$1,"'!A")&amp;($AB$1))</f>
        <v>Small (5-19)</v>
      </c>
      <c r="AB4">
        <f ca="1">INDIRECT(CONCATENATE("'",$AA$1,"'!B")&amp;($AB$1))</f>
        <v>0.30890000000000001</v>
      </c>
      <c r="AC4">
        <f ca="1">INDIRECT(CONCATENATE("'",$AA$1,"'!E")&amp;($AB$1))</f>
        <v>-7.0000000000000001E-3</v>
      </c>
      <c r="AD4">
        <f ca="1">INDIRECT(CONCATENATE("'",$AA$1,"'!H")&amp;($AB$1))</f>
        <v>-0.13200000000000001</v>
      </c>
      <c r="AE4">
        <f ca="1">INDIRECT(CONCATENATE("'",$AA$1,"'!K")&amp;($AB$1))</f>
        <v>-0.1699</v>
      </c>
      <c r="AF4" t="s">
        <v>118</v>
      </c>
      <c r="AM4" s="6" t="str">
        <f ca="1">INDIRECT(CONCATENATE("'",$AM$1,"'!A")&amp;($AN$1))</f>
        <v>Argentina</v>
      </c>
      <c r="AN4">
        <f ca="1">INDIRECT(CONCATENATE("'",$AM$1,"'!B")&amp;($AN$1))</f>
        <v>-0.15179999999999999</v>
      </c>
      <c r="AO4">
        <f ca="1">INDIRECT(CONCATENATE("'",$AM$1,"'!E")&amp;($AN$1))</f>
        <v>6.3E-3</v>
      </c>
      <c r="AP4">
        <f ca="1">INDIRECT(CONCATENATE("'",$AM$1,"'!H")&amp;($AN$1))</f>
        <v>-0.54020000000000001</v>
      </c>
      <c r="AQ4">
        <f ca="1">INDIRECT(CONCATENATE("'",$AM$1,"'!K")&amp;($AN$1))</f>
        <v>0.68569999999999998</v>
      </c>
      <c r="AR4" t="s">
        <v>118</v>
      </c>
      <c r="AZ4" s="6"/>
      <c r="BC4" s="6" t="str">
        <f>BC1</f>
        <v>ASCd7</v>
      </c>
      <c r="BD4">
        <f ca="1">INDIRECT(CONCATENATE("'",$BC$1,"'!B")&amp;($BD$1))</f>
        <v>3.0000000000000001E-3</v>
      </c>
      <c r="BE4">
        <f ca="1">INDIRECT(CONCATENATE("'",$BC$1,"'!E")&amp;($BD$1))</f>
        <v>-3.3E-3</v>
      </c>
      <c r="BF4">
        <f ca="1">INDIRECT(CONCATENATE("'",$BC$1,"'!H")&amp;($BD$1))</f>
        <v>-3.5000000000000001E-3</v>
      </c>
      <c r="BG4">
        <f ca="1">INDIRECT(CONCATENATE("'",$BC$1,"'!K")&amp;($BD$1))</f>
        <v>3.8999999999999998E-3</v>
      </c>
      <c r="BH4" t="s">
        <v>118</v>
      </c>
      <c r="BK4" s="6" t="str">
        <f>BK1</f>
        <v>Age cont</v>
      </c>
      <c r="BL4">
        <f ca="1">INDIRECT(CONCATENATE("'",$BK$1,"'!B")&amp;($BL$1))</f>
        <v>-2.5000000000000001E-3</v>
      </c>
      <c r="BM4">
        <f ca="1">INDIRECT(CONCATENATE("'",$BK$1,"'!E")&amp;($BL$1))</f>
        <v>-3.3E-3</v>
      </c>
      <c r="BN4">
        <f ca="1">INDIRECT(CONCATENATE("'",$BK$1,"'!H")&amp;($BL$1))</f>
        <v>-2E-3</v>
      </c>
      <c r="BO4">
        <f ca="1">INDIRECT(CONCATENATE("'",$BK$1,"'!K")&amp;($BL$1))</f>
        <v>7.9000000000000008E-3</v>
      </c>
      <c r="BP4" t="s">
        <v>118</v>
      </c>
    </row>
    <row r="5" spans="1:68" x14ac:dyDescent="0.25">
      <c r="A5" s="6"/>
      <c r="B5">
        <f ca="1">INDIRECT(CONCATENATE("'",$A$1,"'!D")&amp;($B$1))</f>
        <v>2.0082</v>
      </c>
      <c r="C5">
        <f ca="1">INDIRECT(CONCATENATE("'",$A$1,"'!G")&amp;($B$1))</f>
        <v>-9.3700000000000006E-2</v>
      </c>
      <c r="D5">
        <f ca="1">INDIRECT(CONCATENATE("'",$A$1,"'!J")&amp;($B$1))</f>
        <v>-2.0707</v>
      </c>
      <c r="E5">
        <f ca="1">INDIRECT(CONCATENATE("'",$A$1,"'!M")&amp;($B$1))</f>
        <v>0.2903</v>
      </c>
      <c r="F5" t="s">
        <v>124</v>
      </c>
      <c r="N5" s="6"/>
      <c r="O5">
        <f ca="1">INDIRECT(CONCATENATE("'",$N$1,"'!D")&amp;($O$1))</f>
        <v>2.6011000000000002</v>
      </c>
      <c r="P5">
        <f ca="1">INDIRECT(CONCATENATE("'",$N$1,"'!G")&amp;($O$1))</f>
        <v>-0.56759999999999999</v>
      </c>
      <c r="Q5">
        <f ca="1">INDIRECT(CONCATENATE("'",$N$1,"'!J")&amp;($O$1))</f>
        <v>-1.2845</v>
      </c>
      <c r="R5">
        <f ca="1">INDIRECT(CONCATENATE("'",$N$1,"'!M")&amp;($O$1))</f>
        <v>-6.3600000000000004E-2</v>
      </c>
      <c r="S5" t="s">
        <v>124</v>
      </c>
      <c r="AA5" s="6"/>
      <c r="AB5">
        <f ca="1">INDIRECT(CONCATENATE("'",$AA$1,"'!D")&amp;($AB$1))</f>
        <v>2.1913</v>
      </c>
      <c r="AC5">
        <f ca="1">INDIRECT(CONCATENATE("'",$AA$1,"'!G")&amp;($AB$1))</f>
        <v>-4.1799999999999997E-2</v>
      </c>
      <c r="AD5">
        <f ca="1">INDIRECT(CONCATENATE("'",$AA$1,"'!J")&amp;($AB$1))</f>
        <v>-0.77590000000000003</v>
      </c>
      <c r="AE5">
        <f ca="1">INDIRECT(CONCATENATE("'",$AA$1,"'!M")&amp;($AB$1))</f>
        <v>-0.49220000000000003</v>
      </c>
      <c r="AF5" t="s">
        <v>124</v>
      </c>
      <c r="AM5" s="6"/>
      <c r="AN5">
        <f ca="1">INDIRECT(CONCATENATE("'",$AM$1,"'!D")&amp;($AN$1))</f>
        <v>-1.1880999999999999</v>
      </c>
      <c r="AO5">
        <f ca="1">INDIRECT(CONCATENATE("'",$AM$1,"'!G")&amp;($AN$1))</f>
        <v>3.8199999999999998E-2</v>
      </c>
      <c r="AP5">
        <f ca="1">INDIRECT(CONCATENATE("'",$AM$1,"'!J")&amp;($AN$1))</f>
        <v>-3.1922000000000001</v>
      </c>
      <c r="AQ5">
        <f ca="1">INDIRECT(CONCATENATE("'",$AM$1,"'!M")&amp;($AN$1))</f>
        <v>2.2164999999999999</v>
      </c>
      <c r="AR5" t="s">
        <v>124</v>
      </c>
      <c r="AZ5" s="6"/>
      <c r="BC5" s="6"/>
      <c r="BD5">
        <f ca="1">INDIRECT(CONCATENATE("'",$BC$1,"'!D")&amp;($BD$1))</f>
        <v>1.2376</v>
      </c>
      <c r="BE5">
        <f ca="1">INDIRECT(CONCATENATE("'",$BC$1,"'!G")&amp;($BD$1))</f>
        <v>-1.1540999999999999</v>
      </c>
      <c r="BF5">
        <f ca="1">INDIRECT(CONCATENATE("'",$BC$1,"'!J")&amp;($BD$1))</f>
        <v>-1.2912999999999999</v>
      </c>
      <c r="BG5">
        <f ca="1">INDIRECT(CONCATENATE("'",$BC$1,"'!M")&amp;($BD$1))</f>
        <v>0.77859999999999996</v>
      </c>
      <c r="BH5" t="s">
        <v>124</v>
      </c>
      <c r="BK5" s="6"/>
      <c r="BL5">
        <f ca="1">INDIRECT(CONCATENATE("'",$BK$1,"'!D")&amp;($BL$1))</f>
        <v>-0.71230000000000004</v>
      </c>
      <c r="BM5">
        <f ca="1">INDIRECT(CONCATENATE("'",$BK$1,"'!G")&amp;($BL$1))</f>
        <v>-0.7167</v>
      </c>
      <c r="BN5">
        <f ca="1">INDIRECT(CONCATENATE("'",$BK$1,"'!J")&amp;($BL$1))</f>
        <v>-0.37119999999999997</v>
      </c>
      <c r="BO5">
        <f ca="1">INDIRECT(CONCATENATE("'",$BK$1,"'!M")&amp;($BL$1))</f>
        <v>1.0337000000000001</v>
      </c>
      <c r="BP5" t="s">
        <v>124</v>
      </c>
    </row>
    <row r="6" spans="1:68" x14ac:dyDescent="0.25">
      <c r="A6" s="6" t="str">
        <f ca="1">INDIRECT(CONCATENATE("'",$A$1,"'!A")&amp;($B$1+1))</f>
        <v>Tend to disagree</v>
      </c>
      <c r="B6">
        <f ca="1">INDIRECT(CONCATENATE("'",$A$1,"'!B")&amp;($B$1+1))</f>
        <v>-5.5199999999999999E-2</v>
      </c>
      <c r="C6">
        <f ca="1">INDIRECT(CONCATENATE("'",$A$1,"'!E")&amp;($B$1+1))</f>
        <v>0.22009999999999999</v>
      </c>
      <c r="D6">
        <f ca="1">INDIRECT(CONCATENATE("'",$A$1,"'!H")&amp;($B$1+1))</f>
        <v>-0.28899999999999998</v>
      </c>
      <c r="E6">
        <f ca="1">INDIRECT(CONCATENATE("'",$A$1,"'!K")&amp;($B$1+1))</f>
        <v>0.1241</v>
      </c>
      <c r="N6" s="6" t="str">
        <f ca="1">INDIRECT(CONCATENATE("'",$N$1,"'!A")&amp;($O$1+1))</f>
        <v>Minor obstacle</v>
      </c>
      <c r="O6">
        <f ca="1">INDIRECT(CONCATENATE("'",$N$1,"'!B")&amp;($O$1+1))</f>
        <v>-0.2218</v>
      </c>
      <c r="P6">
        <f ca="1">INDIRECT(CONCATENATE("'",$N$1,"'!E")&amp;($O$1+1))</f>
        <v>-0.22389999999999999</v>
      </c>
      <c r="Q6">
        <f ca="1">INDIRECT(CONCATENATE("'",$N$1,"'!H")&amp;($O$1+1))</f>
        <v>-3.7600000000000001E-2</v>
      </c>
      <c r="R6">
        <f ca="1">INDIRECT(CONCATENATE("'",$N$1,"'!K")&amp;($O$1+1))</f>
        <v>0.48320000000000002</v>
      </c>
      <c r="AA6" s="6" t="str">
        <f ca="1">INDIRECT(CONCATENATE("'",$AA$1,"'!A")&amp;($AB$1+1))</f>
        <v>Medium (20-99)</v>
      </c>
      <c r="AB6">
        <f ca="1">INDIRECT(CONCATENATE("'",$AA$1,"'!B")&amp;($AB$1+1))</f>
        <v>0.2087</v>
      </c>
      <c r="AC6">
        <f ca="1">INDIRECT(CONCATENATE("'",$AA$1,"'!E")&amp;($AB$1+1))</f>
        <v>-3.6200000000000003E-2</v>
      </c>
      <c r="AD6">
        <f ca="1">INDIRECT(CONCATENATE("'",$AA$1,"'!H")&amp;($AB$1+1))</f>
        <v>-0.21959999999999999</v>
      </c>
      <c r="AE6">
        <f ca="1">INDIRECT(CONCATENATE("'",$AA$1,"'!K")&amp;($AB$1+1))</f>
        <v>4.7E-2</v>
      </c>
      <c r="AM6" s="6" t="str">
        <f ca="1">INDIRECT(CONCATENATE("'",$AM$1,"'!A")&amp;($AN$1+1))</f>
        <v>Bolivia</v>
      </c>
      <c r="AN6">
        <f ca="1">INDIRECT(CONCATENATE("'",$AM$1,"'!B")&amp;($AN$1+1))</f>
        <v>-0.52439999999999998</v>
      </c>
      <c r="AO6">
        <f ca="1">INDIRECT(CONCATENATE("'",$AM$1,"'!E")&amp;($AN$1+1))</f>
        <v>0.1517</v>
      </c>
      <c r="AP6">
        <f ca="1">INDIRECT(CONCATENATE("'",$AM$1,"'!H")&amp;($AN$1+1))</f>
        <v>-5.1799999999999999E-2</v>
      </c>
      <c r="AQ6">
        <f ca="1">INDIRECT(CONCATENATE("'",$AM$1,"'!K")&amp;($AN$1+1))</f>
        <v>0.42449999999999999</v>
      </c>
      <c r="AZ6" s="6"/>
      <c r="BC6" s="6"/>
    </row>
    <row r="7" spans="1:68" x14ac:dyDescent="0.25">
      <c r="A7" s="6"/>
      <c r="B7">
        <f ca="1">INDIRECT(CONCATENATE("'",$A$1,"'!D")&amp;($B$1+1))</f>
        <v>-0.34100000000000003</v>
      </c>
      <c r="C7">
        <f ca="1">INDIRECT(CONCATENATE("'",$A$1,"'!G")&amp;($B$1+1))</f>
        <v>1.1267</v>
      </c>
      <c r="D7">
        <f ca="1">INDIRECT(CONCATENATE("'",$A$1,"'!J")&amp;($B$1+1))</f>
        <v>-1.4622999999999999</v>
      </c>
      <c r="E7">
        <f ca="1">INDIRECT(CONCATENATE("'",$A$1,"'!M")&amp;($B$1+1))</f>
        <v>0.3221</v>
      </c>
      <c r="N7" s="6"/>
      <c r="O7">
        <f ca="1">INDIRECT(CONCATENATE("'",$N$1,"'!D")&amp;($O$1+1))</f>
        <v>-1.4084000000000001</v>
      </c>
      <c r="P7">
        <f ca="1">INDIRECT(CONCATENATE("'",$N$1,"'!G")&amp;($O$1+1))</f>
        <v>-1.1097999999999999</v>
      </c>
      <c r="Q7">
        <f ca="1">INDIRECT(CONCATENATE("'",$N$1,"'!J")&amp;($O$1+1))</f>
        <v>-0.19350000000000001</v>
      </c>
      <c r="R7">
        <f ca="1">INDIRECT(CONCATENATE("'",$N$1,"'!M")&amp;($O$1+1))</f>
        <v>1.3561000000000001</v>
      </c>
      <c r="AA7" s="6"/>
      <c r="AB7">
        <f ca="1">INDIRECT(CONCATENATE("'",$AA$1,"'!D")&amp;($AB$1+1))</f>
        <v>1.4572000000000001</v>
      </c>
      <c r="AC7">
        <f ca="1">INDIRECT(CONCATENATE("'",$AA$1,"'!G")&amp;($AB$1+1))</f>
        <v>-0.20760000000000001</v>
      </c>
      <c r="AD7">
        <f ca="1">INDIRECT(CONCATENATE("'",$AA$1,"'!J")&amp;($AB$1+1))</f>
        <v>-1.2615000000000001</v>
      </c>
      <c r="AE7">
        <f ca="1">INDIRECT(CONCATENATE("'",$AA$1,"'!M")&amp;($AB$1+1))</f>
        <v>0.13969999999999999</v>
      </c>
      <c r="AM7" s="6"/>
      <c r="AN7">
        <f ca="1">INDIRECT(CONCATENATE("'",$AM$1,"'!D")&amp;($AN$1+1))</f>
        <v>-3.0093999999999999</v>
      </c>
      <c r="AO7">
        <f ca="1">INDIRECT(CONCATENATE("'",$AM$1,"'!G")&amp;($AN$1+1))</f>
        <v>0.57930000000000004</v>
      </c>
      <c r="AP7">
        <f ca="1">INDIRECT(CONCATENATE("'",$AM$1,"'!J")&amp;($AN$1+1))</f>
        <v>-0.24160000000000001</v>
      </c>
      <c r="AQ7">
        <f ca="1">INDIRECT(CONCATENATE("'",$AM$1,"'!M")&amp;($AN$1+1))</f>
        <v>1.141</v>
      </c>
      <c r="AZ7" s="6"/>
      <c r="BC7" s="6"/>
    </row>
    <row r="8" spans="1:68" x14ac:dyDescent="0.25">
      <c r="A8" s="6" t="str">
        <f ca="1">INDIRECT(CONCATENATE("'",$A$1,"'!A")&amp;($B$1+2))</f>
        <v>Tend to agree</v>
      </c>
      <c r="B8">
        <f ca="1">INDIRECT(CONCATENATE("'",$A$1,"'!B")&amp;($B$1+2))</f>
        <v>-0.41360000000000002</v>
      </c>
      <c r="C8">
        <f ca="1">INDIRECT(CONCATENATE("'",$A$1,"'!E")&amp;($B$1+2))</f>
        <v>-3.95E-2</v>
      </c>
      <c r="D8">
        <f ca="1">INDIRECT(CONCATENATE("'",$A$1,"'!H")&amp;($B$1+2))</f>
        <v>4.9000000000000002E-2</v>
      </c>
      <c r="E8">
        <f ca="1">INDIRECT(CONCATENATE("'",$A$1,"'!K")&amp;($B$1+2))</f>
        <v>0.4042</v>
      </c>
      <c r="N8" s="6" t="str">
        <f ca="1">INDIRECT(CONCATENATE("'",$N$1,"'!A")&amp;($O$1+2))</f>
        <v>Moderate obstacle</v>
      </c>
      <c r="O8">
        <f ca="1">INDIRECT(CONCATENATE("'",$N$1,"'!B")&amp;($O$1+2))</f>
        <v>-5.5999999999999999E-3</v>
      </c>
      <c r="P8">
        <f ca="1">INDIRECT(CONCATENATE("'",$N$1,"'!E")&amp;($O$1+2))</f>
        <v>0.15859999999999999</v>
      </c>
      <c r="Q8">
        <f ca="1">INDIRECT(CONCATENATE("'",$N$1,"'!H")&amp;($O$1+2))</f>
        <v>0.19359999999999999</v>
      </c>
      <c r="R8">
        <f ca="1">INDIRECT(CONCATENATE("'",$N$1,"'!K")&amp;($O$1+2))</f>
        <v>-0.34660000000000002</v>
      </c>
      <c r="AA8" s="6" t="str">
        <f ca="1">INDIRECT(CONCATENATE("'",$AA$1,"'!A")&amp;($AB$1+2))</f>
        <v>Large (100-399)</v>
      </c>
      <c r="AB8">
        <f ca="1">INDIRECT(CONCATENATE("'",$AA$1,"'!B")&amp;($AB$1+2))</f>
        <v>-2.3800000000000002E-2</v>
      </c>
      <c r="AC8">
        <f ca="1">INDIRECT(CONCATENATE("'",$AA$1,"'!E")&amp;($AB$1+2))</f>
        <v>-0.11609999999999999</v>
      </c>
      <c r="AD8">
        <f ca="1">INDIRECT(CONCATENATE("'",$AA$1,"'!H")&amp;($AB$1+2))</f>
        <v>-6.3200000000000006E-2</v>
      </c>
      <c r="AE8">
        <f ca="1">INDIRECT(CONCATENATE("'",$AA$1,"'!K")&amp;($AB$1+2))</f>
        <v>0.2031</v>
      </c>
      <c r="AM8" s="6" t="str">
        <f ca="1">INDIRECT(CONCATENATE("'",$AM$1,"'!A")&amp;($AN$1+2))</f>
        <v>Ecuador</v>
      </c>
      <c r="AN8">
        <f ca="1">INDIRECT(CONCATENATE("'",$AM$1,"'!B")&amp;($AN$1+2))</f>
        <v>0.11409999999999999</v>
      </c>
      <c r="AO8">
        <f ca="1">INDIRECT(CONCATENATE("'",$AM$1,"'!E")&amp;($AN$1+2))</f>
        <v>-0.1439</v>
      </c>
      <c r="AP8">
        <f ca="1">INDIRECT(CONCATENATE("'",$AM$1,"'!H")&amp;($AN$1+2))</f>
        <v>0.39019999999999999</v>
      </c>
      <c r="AQ8">
        <f ca="1">INDIRECT(CONCATENATE("'",$AM$1,"'!K")&amp;($AN$1+2))</f>
        <v>-0.3604</v>
      </c>
      <c r="AZ8" s="6"/>
    </row>
    <row r="9" spans="1:68" x14ac:dyDescent="0.25">
      <c r="A9" s="6"/>
      <c r="B9">
        <f ca="1">INDIRECT(CONCATENATE("'",$A$1,"'!D")&amp;($B$1+2))</f>
        <v>-2.4058999999999999</v>
      </c>
      <c r="C9">
        <f ca="1">INDIRECT(CONCATENATE("'",$A$1,"'!G")&amp;($B$1+2))</f>
        <v>-0.15590000000000001</v>
      </c>
      <c r="D9">
        <f ca="1">INDIRECT(CONCATENATE("'",$A$1,"'!J")&amp;($B$1+2))</f>
        <v>0.2276</v>
      </c>
      <c r="E9">
        <f ca="1">INDIRECT(CONCATENATE("'",$A$1,"'!M")&amp;($B$1+2))</f>
        <v>1.157</v>
      </c>
      <c r="N9" s="6"/>
      <c r="O9">
        <f ca="1">INDIRECT(CONCATENATE("'",$N$1,"'!D")&amp;($O$1+2))</f>
        <v>-2.87E-2</v>
      </c>
      <c r="P9">
        <f ca="1">INDIRECT(CONCATENATE("'",$N$1,"'!G")&amp;($O$1+2))</f>
        <v>0.68489999999999995</v>
      </c>
      <c r="Q9">
        <f ca="1">INDIRECT(CONCATENATE("'",$N$1,"'!J")&amp;($O$1+2))</f>
        <v>0.86670000000000003</v>
      </c>
      <c r="R9">
        <f ca="1">INDIRECT(CONCATENATE("'",$N$1,"'!M")&amp;($O$1+2))</f>
        <v>-0.68379999999999996</v>
      </c>
      <c r="AA9" s="6"/>
      <c r="AB9">
        <f ca="1">INDIRECT(CONCATENATE("'",$AA$1,"'!D")&amp;($AB$1+2))</f>
        <v>-0.1099</v>
      </c>
      <c r="AC9">
        <f ca="1">INDIRECT(CONCATENATE("'",$AA$1,"'!G")&amp;($AB$1+2))</f>
        <v>-0.47149999999999997</v>
      </c>
      <c r="AD9">
        <f ca="1">INDIRECT(CONCATENATE("'",$AA$1,"'!J")&amp;($AB$1+2))</f>
        <v>-0.25230000000000002</v>
      </c>
      <c r="AE9">
        <f ca="1">INDIRECT(CONCATENATE("'",$AA$1,"'!M")&amp;($AB$1+2))</f>
        <v>0.37859999999999999</v>
      </c>
      <c r="AM9" s="6"/>
      <c r="AN9">
        <f ca="1">INDIRECT(CONCATENATE("'",$AM$1,"'!D")&amp;($AN$1+2))</f>
        <v>0.63149999999999995</v>
      </c>
      <c r="AO9">
        <f ca="1">INDIRECT(CONCATENATE("'",$AM$1,"'!G")&amp;($AN$1+2))</f>
        <v>-0.59850000000000003</v>
      </c>
      <c r="AP9">
        <f ca="1">INDIRECT(CONCATENATE("'",$AM$1,"'!J")&amp;($AN$1+2))</f>
        <v>1.9519</v>
      </c>
      <c r="AQ9">
        <f ca="1">INDIRECT(CONCATENATE("'",$AM$1,"'!M")&amp;($AN$1+2))</f>
        <v>-0.82530000000000003</v>
      </c>
      <c r="AZ9" s="6"/>
      <c r="BC9" s="6" t="s">
        <v>120</v>
      </c>
      <c r="BD9" s="6" t="str">
        <f ca="1">INDIRECT(CONCATENATE("'",$BC$1,"'!B")&amp;($BD$1-2))</f>
        <v>Cluster1</v>
      </c>
      <c r="BE9" s="6" t="str">
        <f ca="1">INDIRECT(CONCATENATE("'",$BC$1,"'!E")&amp;($BD$1-2))</f>
        <v>Cluster2</v>
      </c>
      <c r="BF9" s="6" t="str">
        <f ca="1">INDIRECT(CONCATENATE("'",$BC$1,"'!H")&amp;($BD$1-2))</f>
        <v>Cluster3</v>
      </c>
      <c r="BG9" s="6" t="str">
        <f ca="1">INDIRECT(CONCATENATE("'",$BC$1,"'!K")&amp;($BD$1-2))</f>
        <v>Cluster4</v>
      </c>
      <c r="BK9" s="6" t="s">
        <v>120</v>
      </c>
      <c r="BL9" s="6" t="str">
        <f ca="1">INDIRECT(CONCATENATE("'",$BC$1,"'!B")&amp;($BD$1-2))</f>
        <v>Cluster1</v>
      </c>
      <c r="BM9" s="6" t="str">
        <f ca="1">INDIRECT(CONCATENATE("'",$BC$1,"'!E")&amp;($BD$1-2))</f>
        <v>Cluster2</v>
      </c>
      <c r="BN9" s="6" t="str">
        <f ca="1">INDIRECT(CONCATENATE("'",$BC$1,"'!H")&amp;($BD$1-2))</f>
        <v>Cluster3</v>
      </c>
      <c r="BO9" s="6" t="str">
        <f ca="1">INDIRECT(CONCATENATE("'",$BC$1,"'!K")&amp;($BD$1-2))</f>
        <v>Cluster4</v>
      </c>
    </row>
    <row r="10" spans="1:68" x14ac:dyDescent="0.25">
      <c r="A10" s="6" t="str">
        <f ca="1">INDIRECT(CONCATENATE("'",$A$1,"'!A")&amp;($B$1+3))</f>
        <v>Strongly agree</v>
      </c>
      <c r="B10">
        <f ca="1">INDIRECT(CONCATENATE("'",$A$1,"'!B")&amp;($B$1+3))</f>
        <v>0.17419999999999999</v>
      </c>
      <c r="C10">
        <f ca="1">INDIRECT(CONCATENATE("'",$A$1,"'!E")&amp;($B$1+3))</f>
        <v>-0.16320000000000001</v>
      </c>
      <c r="D10">
        <f ca="1">INDIRECT(CONCATENATE("'",$A$1,"'!H")&amp;($B$1+3))</f>
        <v>0.62039999999999995</v>
      </c>
      <c r="E10">
        <f ca="1">INDIRECT(CONCATENATE("'",$A$1,"'!K")&amp;($B$1+3))</f>
        <v>-0.63149999999999995</v>
      </c>
      <c r="N10" s="6" t="str">
        <f ca="1">INDIRECT(CONCATENATE("'",$N$1,"'!A")&amp;($O$1+3))</f>
        <v>Major obstacle</v>
      </c>
      <c r="O10">
        <f ca="1">INDIRECT(CONCATENATE("'",$N$1,"'!B")&amp;($O$1+3))</f>
        <v>4.0000000000000002E-4</v>
      </c>
      <c r="P10">
        <f ca="1">INDIRECT(CONCATENATE("'",$N$1,"'!E")&amp;($O$1+3))</f>
        <v>0.4254</v>
      </c>
      <c r="Q10">
        <f ca="1">INDIRECT(CONCATENATE("'",$N$1,"'!H")&amp;($O$1+3))</f>
        <v>2.1899999999999999E-2</v>
      </c>
      <c r="R10">
        <f ca="1">INDIRECT(CONCATENATE("'",$N$1,"'!K")&amp;($O$1+3))</f>
        <v>-0.44779999999999998</v>
      </c>
      <c r="AA10" s="6" t="str">
        <f ca="1">INDIRECT(CONCATENATE("'",$AA$1,"'!A")&amp;($AB$1+3))</f>
        <v>Very large (400+)</v>
      </c>
      <c r="AB10">
        <f ca="1">INDIRECT(CONCATENATE("'",$AA$1,"'!B")&amp;($AB$1+3))</f>
        <v>-0.49380000000000002</v>
      </c>
      <c r="AC10">
        <f ca="1">INDIRECT(CONCATENATE("'",$AA$1,"'!E")&amp;($AB$1+3))</f>
        <v>0.1593</v>
      </c>
      <c r="AD10">
        <f ca="1">INDIRECT(CONCATENATE("'",$AA$1,"'!H")&amp;($AB$1+3))</f>
        <v>0.4148</v>
      </c>
      <c r="AE10">
        <f ca="1">INDIRECT(CONCATENATE("'",$AA$1,"'!K")&amp;($AB$1+3))</f>
        <v>-8.0299999999999996E-2</v>
      </c>
      <c r="AM10" s="6" t="str">
        <f ca="1">INDIRECT(CONCATENATE("'",$AM$1,"'!A")&amp;($AN$1+3))</f>
        <v>Paraguay</v>
      </c>
      <c r="AN10">
        <f ca="1">INDIRECT(CONCATENATE("'",$AM$1,"'!B")&amp;($AN$1+3))</f>
        <v>0.2447</v>
      </c>
      <c r="AO10">
        <f ca="1">INDIRECT(CONCATENATE("'",$AM$1,"'!E")&amp;($AN$1+3))</f>
        <v>-9.5999999999999992E-3</v>
      </c>
      <c r="AP10">
        <f ca="1">INDIRECT(CONCATENATE("'",$AM$1,"'!H")&amp;($AN$1+3))</f>
        <v>-6.6E-3</v>
      </c>
      <c r="AQ10">
        <f ca="1">INDIRECT(CONCATENATE("'",$AM$1,"'!K")&amp;($AN$1+3))</f>
        <v>-0.2286</v>
      </c>
      <c r="AZ10" s="6"/>
      <c r="BC10" s="6">
        <f>ASCd7!A234</f>
        <v>0</v>
      </c>
      <c r="BD10">
        <f>ASCd7!B234</f>
        <v>0.53610000000000002</v>
      </c>
      <c r="BE10">
        <f>ASCd7!D234</f>
        <v>0.2198</v>
      </c>
      <c r="BF10">
        <f>ASCd7!F234</f>
        <v>0.23250000000000001</v>
      </c>
      <c r="BG10">
        <f>ASCd7!H234</f>
        <v>1.1599999999999999E-2</v>
      </c>
      <c r="BK10" s="6">
        <f>'Age cont'!A220</f>
        <v>1</v>
      </c>
      <c r="BL10">
        <f>'Age cont'!B220</f>
        <v>0.6603</v>
      </c>
      <c r="BM10">
        <f>'Age cont'!D220</f>
        <v>0.1676</v>
      </c>
      <c r="BN10">
        <f>'Age cont'!F220</f>
        <v>0.1593</v>
      </c>
      <c r="BO10">
        <f>'Age cont'!H220</f>
        <v>1.29E-2</v>
      </c>
    </row>
    <row r="11" spans="1:68" x14ac:dyDescent="0.25">
      <c r="A11" s="6"/>
      <c r="B11">
        <f ca="1">INDIRECT(CONCATENATE("'",$A$1,"'!D")&amp;($B$1+3))</f>
        <v>0.60599999999999998</v>
      </c>
      <c r="C11">
        <f ca="1">INDIRECT(CONCATENATE("'",$A$1,"'!G")&amp;($B$1+3))</f>
        <v>-0.47520000000000001</v>
      </c>
      <c r="D11">
        <f ca="1">INDIRECT(CONCATENATE("'",$A$1,"'!J")&amp;($B$1+3))</f>
        <v>1.7381</v>
      </c>
      <c r="E11">
        <f ca="1">INDIRECT(CONCATENATE("'",$A$1,"'!M")&amp;($B$1+3))</f>
        <v>-0.93830000000000002</v>
      </c>
      <c r="N11" s="6"/>
      <c r="O11">
        <f ca="1">INDIRECT(CONCATENATE("'",$N$1,"'!D")&amp;($O$1+3))</f>
        <v>2.7000000000000001E-3</v>
      </c>
      <c r="P11">
        <f ca="1">INDIRECT(CONCATENATE("'",$N$1,"'!G")&amp;($O$1+3))</f>
        <v>2.2101999999999999</v>
      </c>
      <c r="Q11">
        <f ca="1">INDIRECT(CONCATENATE("'",$N$1,"'!J")&amp;($O$1+3))</f>
        <v>0.1137</v>
      </c>
      <c r="R11">
        <f ca="1">INDIRECT(CONCATENATE("'",$N$1,"'!M")&amp;($O$1+3))</f>
        <v>-1.3125</v>
      </c>
      <c r="AA11" s="6"/>
      <c r="AB11">
        <f ca="1">INDIRECT(CONCATENATE("'",$AA$1,"'!D")&amp;($AB$1+3))</f>
        <v>-2.0365000000000002</v>
      </c>
      <c r="AC11">
        <f ca="1">INDIRECT(CONCATENATE("'",$AA$1,"'!G")&amp;($AB$1+3))</f>
        <v>0.59</v>
      </c>
      <c r="AD11">
        <f ca="1">INDIRECT(CONCATENATE("'",$AA$1,"'!J")&amp;($AB$1+3))</f>
        <v>1.3764000000000001</v>
      </c>
      <c r="AE11">
        <f ca="1">INDIRECT(CONCATENATE("'",$AA$1,"'!M")&amp;($AB$1+3))</f>
        <v>-0.1396</v>
      </c>
      <c r="AM11" s="6"/>
      <c r="AN11">
        <f ca="1">INDIRECT(CONCATENATE("'",$AM$1,"'!D")&amp;($AN$1+3))</f>
        <v>1.2341</v>
      </c>
      <c r="AO11">
        <f ca="1">INDIRECT(CONCATENATE("'",$AM$1,"'!G")&amp;($AN$1+3))</f>
        <v>-4.2299999999999997E-2</v>
      </c>
      <c r="AP11">
        <f ca="1">INDIRECT(CONCATENATE("'",$AM$1,"'!J")&amp;($AN$1+3))</f>
        <v>-3.04E-2</v>
      </c>
      <c r="AQ11">
        <f ca="1">INDIRECT(CONCATENATE("'",$AM$1,"'!M")&amp;($AN$1+3))</f>
        <v>-0.43519999999999998</v>
      </c>
      <c r="BC11" s="6">
        <f>ASCd7!A235</f>
        <v>1</v>
      </c>
      <c r="BD11">
        <f>ASCd7!B235</f>
        <v>0.53759999999999997</v>
      </c>
      <c r="BE11">
        <f>ASCd7!D235</f>
        <v>0.21909999999999999</v>
      </c>
      <c r="BF11">
        <f>ASCd7!F235</f>
        <v>0.23169999999999999</v>
      </c>
      <c r="BG11">
        <f>ASCd7!H235</f>
        <v>1.1599999999999999E-2</v>
      </c>
      <c r="BK11" s="6">
        <f>'Age cont'!A221</f>
        <v>2</v>
      </c>
      <c r="BL11">
        <f>'Age cont'!B221</f>
        <v>0.66020000000000001</v>
      </c>
      <c r="BM11">
        <f>'Age cont'!D221</f>
        <v>0.16739999999999999</v>
      </c>
      <c r="BN11">
        <f>'Age cont'!F221</f>
        <v>0.1593</v>
      </c>
      <c r="BO11">
        <f>'Age cont'!H221</f>
        <v>1.2999999999999999E-2</v>
      </c>
    </row>
    <row r="12" spans="1:68" x14ac:dyDescent="0.25">
      <c r="A12" s="6"/>
      <c r="N12" s="6" t="str">
        <f ca="1">INDIRECT(CONCATENATE("'",$N$1,"'!A")&amp;($O$1+4))</f>
        <v>Very severe obstacle</v>
      </c>
      <c r="O12">
        <f ca="1">INDIRECT(CONCATENATE("'",$N$1,"'!B")&amp;($O$1+4))</f>
        <v>-0.2175</v>
      </c>
      <c r="P12">
        <f ca="1">INDIRECT(CONCATENATE("'",$N$1,"'!E")&amp;($O$1+4))</f>
        <v>-0.22720000000000001</v>
      </c>
      <c r="Q12">
        <f ca="1">INDIRECT(CONCATENATE("'",$N$1,"'!H")&amp;($O$1+4))</f>
        <v>0.1055</v>
      </c>
      <c r="R12">
        <f ca="1">INDIRECT(CONCATENATE("'",$N$1,"'!K")&amp;($O$1+4))</f>
        <v>0.33910000000000001</v>
      </c>
      <c r="AM12" s="6" t="str">
        <f ca="1">INDIRECT(CONCATENATE("'",$AM$1,"'!A")&amp;($AN$1+4))</f>
        <v>Peru</v>
      </c>
      <c r="AN12">
        <f ca="1">INDIRECT(CONCATENATE("'",$AM$1,"'!B")&amp;($AN$1+4))</f>
        <v>0.74280000000000002</v>
      </c>
      <c r="AO12">
        <f ca="1">INDIRECT(CONCATENATE("'",$AM$1,"'!E")&amp;($AN$1+4))</f>
        <v>0.39379999999999998</v>
      </c>
      <c r="AP12">
        <f ca="1">INDIRECT(CONCATENATE("'",$AM$1,"'!H")&amp;($AN$1+4))</f>
        <v>0.442</v>
      </c>
      <c r="AQ12">
        <f ca="1">INDIRECT(CONCATENATE("'",$AM$1,"'!K")&amp;($AN$1+4))</f>
        <v>-1.5785</v>
      </c>
      <c r="AZ12" s="6"/>
      <c r="BC12" s="6">
        <f>ASCd7!A236</f>
        <v>2</v>
      </c>
      <c r="BD12">
        <f>ASCd7!B236</f>
        <v>0.53920000000000001</v>
      </c>
      <c r="BE12">
        <f>ASCd7!D236</f>
        <v>0.21829999999999999</v>
      </c>
      <c r="BF12">
        <f>ASCd7!F236</f>
        <v>0.23080000000000001</v>
      </c>
      <c r="BG12">
        <f>ASCd7!H236</f>
        <v>1.1599999999999999E-2</v>
      </c>
      <c r="BK12" s="6">
        <f>'Age cont'!A222</f>
        <v>3</v>
      </c>
      <c r="BL12">
        <f>'Age cont'!B222</f>
        <v>0.66020000000000001</v>
      </c>
      <c r="BM12">
        <f>'Age cont'!D222</f>
        <v>0.1673</v>
      </c>
      <c r="BN12">
        <f>'Age cont'!F222</f>
        <v>0.15939999999999999</v>
      </c>
      <c r="BO12">
        <f>'Age cont'!H222</f>
        <v>1.3100000000000001E-2</v>
      </c>
    </row>
    <row r="13" spans="1:68" x14ac:dyDescent="0.25">
      <c r="A13" t="s">
        <v>121</v>
      </c>
      <c r="B13">
        <v>204</v>
      </c>
      <c r="N13" s="6"/>
      <c r="O13">
        <f ca="1">INDIRECT(CONCATENATE("'",$N$1,"'!D")&amp;($O$1+4))</f>
        <v>-1.1604000000000001</v>
      </c>
      <c r="P13">
        <f ca="1">INDIRECT(CONCATENATE("'",$N$1,"'!G")&amp;($O$1+4))</f>
        <v>-0.9163</v>
      </c>
      <c r="Q13">
        <f ca="1">INDIRECT(CONCATENATE("'",$N$1,"'!J")&amp;($O$1+4))</f>
        <v>0.44019999999999998</v>
      </c>
      <c r="R13">
        <f ca="1">INDIRECT(CONCATENATE("'",$N$1,"'!M")&amp;($O$1+4))</f>
        <v>0.80879999999999996</v>
      </c>
      <c r="AA13" t="s">
        <v>121</v>
      </c>
      <c r="AB13">
        <v>204</v>
      </c>
      <c r="AM13" s="6"/>
      <c r="AN13">
        <f ca="1">INDIRECT(CONCATENATE("'",$AM$1,"'!D")&amp;($AN$1+4))</f>
        <v>3.4344000000000001</v>
      </c>
      <c r="AO13">
        <f ca="1">INDIRECT(CONCATENATE("'",$AM$1,"'!G")&amp;($AN$1+4))</f>
        <v>1.5911999999999999</v>
      </c>
      <c r="AP13">
        <f ca="1">INDIRECT(CONCATENATE("'",$AM$1,"'!J")&amp;($AN$1+4))</f>
        <v>1.8369</v>
      </c>
      <c r="AQ13">
        <f ca="1">INDIRECT(CONCATENATE("'",$AM$1,"'!M")&amp;($AN$1+4))</f>
        <v>-2.5998999999999999</v>
      </c>
      <c r="AZ13" s="6"/>
      <c r="BC13" s="6">
        <f>ASCd7!A237</f>
        <v>3</v>
      </c>
      <c r="BD13">
        <f>ASCd7!B237</f>
        <v>0.54069999999999996</v>
      </c>
      <c r="BE13">
        <f>ASCd7!D237</f>
        <v>0.21759999999999999</v>
      </c>
      <c r="BF13">
        <f>ASCd7!F237</f>
        <v>0.23</v>
      </c>
      <c r="BG13">
        <f>ASCd7!H237</f>
        <v>1.17E-2</v>
      </c>
      <c r="BK13" s="6">
        <f>'Age cont'!A223</f>
        <v>4</v>
      </c>
      <c r="BL13">
        <f>'Age cont'!B223</f>
        <v>0.66010000000000002</v>
      </c>
      <c r="BM13">
        <f>'Age cont'!D223</f>
        <v>0.16719999999999999</v>
      </c>
      <c r="BN13">
        <f>'Age cont'!F223</f>
        <v>0.1595</v>
      </c>
      <c r="BO13">
        <f>'Age cont'!H223</f>
        <v>1.3299999999999999E-2</v>
      </c>
    </row>
    <row r="14" spans="1:68" x14ac:dyDescent="0.25">
      <c r="A14" s="6" t="s">
        <v>120</v>
      </c>
      <c r="B14" s="6" t="str">
        <f ca="1">CONCATENATE("Cluster ",INDIRECT(CONCATENATE("'",$A$1,"'!B")&amp;($B$13-1)))</f>
        <v>Cluster 1</v>
      </c>
      <c r="C14" s="6" t="str">
        <f ca="1">CONCATENATE("Cluster ",INDIRECT(CONCATENATE("'",$A$1,"'!D")&amp;($B$13-1)))</f>
        <v>Cluster 2</v>
      </c>
      <c r="D14" s="6" t="str">
        <f ca="1">CONCATENATE("Cluster ",INDIRECT(CONCATENATE("'",$A$1,"'!F")&amp;($B$13-1)))</f>
        <v>Cluster 3</v>
      </c>
      <c r="E14" s="6" t="str">
        <f ca="1">CONCATENATE("Cluster ",INDIRECT(CONCATENATE("'",$A$1,"'!H")&amp;($B$13-1)))</f>
        <v>Cluster 4</v>
      </c>
      <c r="N14" s="6"/>
      <c r="AA14" s="6" t="s">
        <v>120</v>
      </c>
      <c r="AB14" s="6" t="str">
        <f ca="1">CONCATENATE("Cluster ",INDIRECT(CONCATENATE("'",$AA$1,"'!B")&amp;($AB$13-1)))</f>
        <v>Cluster 1</v>
      </c>
      <c r="AC14" s="6" t="str">
        <f ca="1">CONCATENATE("Cluster ",INDIRECT(CONCATENATE("'",$AA$1,"'!D")&amp;($AB$13-1)))</f>
        <v>Cluster 2</v>
      </c>
      <c r="AD14" s="6" t="str">
        <f ca="1">CONCATENATE("Cluster ",INDIRECT(CONCATENATE("'",$AA$1,"'!F")&amp;($AB$13-1)))</f>
        <v>Cluster 3</v>
      </c>
      <c r="AE14" s="6" t="str">
        <f ca="1">CONCATENATE("Cluster ",INDIRECT(CONCATENATE("'",$AA$1,"'!H")&amp;($AB$13-1)))</f>
        <v>Cluster 4</v>
      </c>
      <c r="AM14" s="6" t="str">
        <f ca="1">INDIRECT(CONCATENATE("'",$AM$1,"'!A")&amp;($AN$1+5))</f>
        <v>Uruguay</v>
      </c>
      <c r="AN14">
        <f ca="1">INDIRECT(CONCATENATE("'",$AM$1,"'!B")&amp;($AN$1+5))</f>
        <v>-0.4254</v>
      </c>
      <c r="AO14">
        <f ca="1">INDIRECT(CONCATENATE("'",$AM$1,"'!E")&amp;($AN$1+5))</f>
        <v>-0.3982</v>
      </c>
      <c r="AP14">
        <f ca="1">INDIRECT(CONCATENATE("'",$AM$1,"'!H")&amp;($AN$1+5))</f>
        <v>-0.23369999999999999</v>
      </c>
      <c r="AQ14">
        <f ca="1">INDIRECT(CONCATENATE("'",$AM$1,"'!K")&amp;($AN$1+5))</f>
        <v>1.0572999999999999</v>
      </c>
      <c r="AZ14" s="6"/>
      <c r="BC14" s="6">
        <f>ASCd7!A238</f>
        <v>4</v>
      </c>
      <c r="BD14">
        <f>ASCd7!B238</f>
        <v>0.5423</v>
      </c>
      <c r="BE14">
        <f>ASCd7!D238</f>
        <v>0.21690000000000001</v>
      </c>
      <c r="BF14">
        <f>ASCd7!F238</f>
        <v>0.22919999999999999</v>
      </c>
      <c r="BG14">
        <f>ASCd7!H238</f>
        <v>1.17E-2</v>
      </c>
      <c r="BK14" s="6">
        <f>'Age cont'!A224</f>
        <v>5</v>
      </c>
      <c r="BL14">
        <f>'Age cont'!B224</f>
        <v>0.66</v>
      </c>
      <c r="BM14">
        <f>'Age cont'!D224</f>
        <v>0.16700000000000001</v>
      </c>
      <c r="BN14">
        <f>'Age cont'!F224</f>
        <v>0.15959999999999999</v>
      </c>
      <c r="BO14">
        <f>'Age cont'!H224</f>
        <v>1.34E-2</v>
      </c>
    </row>
    <row r="15" spans="1:68" x14ac:dyDescent="0.25">
      <c r="B15" s="6" t="s">
        <v>290</v>
      </c>
      <c r="C15" s="6" t="s">
        <v>291</v>
      </c>
      <c r="D15" s="6" t="s">
        <v>292</v>
      </c>
      <c r="E15" s="6" t="s">
        <v>293</v>
      </c>
      <c r="AB15" s="6" t="s">
        <v>290</v>
      </c>
      <c r="AC15" s="6" t="s">
        <v>291</v>
      </c>
      <c r="AD15" s="6" t="s">
        <v>292</v>
      </c>
      <c r="AE15" s="6" t="s">
        <v>293</v>
      </c>
      <c r="AF15" t="s">
        <v>118</v>
      </c>
      <c r="AN15">
        <f ca="1">INDIRECT(CONCATENATE("'",$AM$1,"'!D")&amp;($AN$1+5))</f>
        <v>-2.3721000000000001</v>
      </c>
      <c r="AO15">
        <f ca="1">INDIRECT(CONCATENATE("'",$AM$1,"'!G")&amp;($AN$1+5))</f>
        <v>-1.6628000000000001</v>
      </c>
      <c r="AP15">
        <f ca="1">INDIRECT(CONCATENATE("'",$AM$1,"'!J")&amp;($AN$1+5))</f>
        <v>-1.0666</v>
      </c>
      <c r="AQ15">
        <f ca="1">INDIRECT(CONCATENATE("'",$AM$1,"'!M")&amp;($AN$1+5))</f>
        <v>2.5097</v>
      </c>
      <c r="AZ15" s="7"/>
      <c r="BC15" s="6">
        <f>ASCd7!A239</f>
        <v>5</v>
      </c>
      <c r="BD15">
        <f>ASCd7!B239</f>
        <v>0.54379999999999995</v>
      </c>
      <c r="BE15">
        <f>ASCd7!D239</f>
        <v>0.21609999999999999</v>
      </c>
      <c r="BF15">
        <f>ASCd7!F239</f>
        <v>0.2283</v>
      </c>
      <c r="BG15">
        <f>ASCd7!H239</f>
        <v>1.18E-2</v>
      </c>
      <c r="BK15" s="6">
        <f>'Age cont'!A225</f>
        <v>6</v>
      </c>
      <c r="BL15">
        <f>'Age cont'!B225</f>
        <v>0.66</v>
      </c>
      <c r="BM15">
        <f>'Age cont'!D225</f>
        <v>0.16689999999999999</v>
      </c>
      <c r="BN15">
        <f>'Age cont'!F225</f>
        <v>0.15959999999999999</v>
      </c>
      <c r="BO15">
        <f>'Age cont'!H225</f>
        <v>1.35E-2</v>
      </c>
    </row>
    <row r="16" spans="1:68" x14ac:dyDescent="0.25">
      <c r="A16" s="6" t="str">
        <f ca="1">INDIRECT(CONCATENATE("'",$A$1,"'!A")&amp;($B$13))</f>
        <v>Strongly disagree</v>
      </c>
      <c r="B16" s="9">
        <f ca="1">INDIRECT(CONCATENATE("'",$A$1,"'!B")&amp;($B$13))</f>
        <v>0.71809999999999996</v>
      </c>
      <c r="C16" s="9">
        <f ca="1">INDIRECT(CONCATENATE("'",$A$1,"'!D")&amp;($B$13))</f>
        <v>0.13980000000000001</v>
      </c>
      <c r="D16" s="9">
        <f ca="1">INDIRECT(CONCATENATE("'",$A$1,"'!F")&amp;($B$13))</f>
        <v>0.1283</v>
      </c>
      <c r="E16" s="9">
        <f ca="1">INDIRECT(CONCATENATE("'",$A$1,"'!H")&amp;($B$13))</f>
        <v>1.3899999999999999E-2</v>
      </c>
      <c r="AA16" s="6" t="str">
        <f ca="1">INDIRECT(CONCATENATE("'",$AA$1,"'!A")&amp;($AB$13))</f>
        <v>Small (5-19)</v>
      </c>
      <c r="AB16" s="9">
        <f ca="1">INDIRECT(CONCATENATE("'",$AA$1,"'!B")&amp;($AB$13))</f>
        <v>0.67179999999999995</v>
      </c>
      <c r="AC16" s="9">
        <f ca="1">INDIRECT(CONCATENATE("'",$AA$1,"'!D")&amp;($AB$13))</f>
        <v>0.1608</v>
      </c>
      <c r="AD16" s="9">
        <f ca="1">INDIRECT(CONCATENATE("'",$AA$1,"'!F")&amp;($AB$13))</f>
        <v>0.15329999999999999</v>
      </c>
      <c r="AE16" s="9">
        <f ca="1">INDIRECT(CONCATENATE("'",$AA$1,"'!H")&amp;($AB$13))</f>
        <v>1.41E-2</v>
      </c>
      <c r="AF16" t="s">
        <v>119</v>
      </c>
      <c r="AZ16" s="6"/>
      <c r="BC16" s="6">
        <f>ASCd7!A240</f>
        <v>6</v>
      </c>
      <c r="BD16">
        <f>ASCd7!B240</f>
        <v>0.54530000000000001</v>
      </c>
      <c r="BE16">
        <f>ASCd7!D240</f>
        <v>0.21540000000000001</v>
      </c>
      <c r="BF16">
        <f>ASCd7!F240</f>
        <v>0.22750000000000001</v>
      </c>
      <c r="BG16">
        <f>ASCd7!H240</f>
        <v>1.18E-2</v>
      </c>
      <c r="BK16" s="6">
        <f>'Age cont'!A226</f>
        <v>7</v>
      </c>
      <c r="BL16">
        <f>'Age cont'!B226</f>
        <v>0.65990000000000004</v>
      </c>
      <c r="BM16">
        <f>'Age cont'!D226</f>
        <v>0.16669999999999999</v>
      </c>
      <c r="BN16">
        <f>'Age cont'!F226</f>
        <v>0.15970000000000001</v>
      </c>
      <c r="BO16">
        <f>'Age cont'!H226</f>
        <v>1.37E-2</v>
      </c>
    </row>
    <row r="17" spans="1:67" x14ac:dyDescent="0.25">
      <c r="A17" s="6"/>
      <c r="B17" s="9">
        <f ca="1">INDIRECT(CONCATENATE("'",$A$1,"'!C")&amp;($B$13))</f>
        <v>2.4199999999999999E-2</v>
      </c>
      <c r="C17" s="9">
        <f ca="1">INDIRECT(CONCATENATE("'",$A$1,"'!E")&amp;($B$13))</f>
        <v>2.01E-2</v>
      </c>
      <c r="D17" s="9">
        <f ca="1">INDIRECT(CONCATENATE("'",$A$1,"'!G")&amp;($B$13))</f>
        <v>1.72E-2</v>
      </c>
      <c r="E17" s="9">
        <f ca="1">INDIRECT(CONCATENATE("'",$A$1,"'!I")&amp;($B$13))</f>
        <v>6.1000000000000004E-3</v>
      </c>
      <c r="N17" t="s">
        <v>121</v>
      </c>
      <c r="O17">
        <v>208</v>
      </c>
      <c r="AA17" s="6"/>
      <c r="AB17" s="9">
        <f ca="1">INDIRECT(CONCATENATE("'",$AA$1,"'!C")&amp;($AB$13))</f>
        <v>2.5600000000000001E-2</v>
      </c>
      <c r="AC17" s="9">
        <f ca="1">INDIRECT(CONCATENATE("'",$AA$1,"'!E")&amp;($AB$13))</f>
        <v>2.1899999999999999E-2</v>
      </c>
      <c r="AD17" s="9">
        <f ca="1">INDIRECT(CONCATENATE("'",$AA$1,"'!G")&amp;($AB$13))</f>
        <v>1.9099999999999999E-2</v>
      </c>
      <c r="AE17" s="9">
        <f ca="1">INDIRECT(CONCATENATE("'",$AA$1,"'!I")&amp;($AB$13))</f>
        <v>5.7999999999999996E-3</v>
      </c>
      <c r="AF17" s="9"/>
      <c r="AM17" t="s">
        <v>121</v>
      </c>
      <c r="AN17">
        <v>212</v>
      </c>
      <c r="AZ17" s="6"/>
      <c r="BC17" s="6">
        <f>ASCd7!A241</f>
        <v>8</v>
      </c>
      <c r="BD17">
        <f>ASCd7!B241</f>
        <v>0.5484</v>
      </c>
      <c r="BE17">
        <f>ASCd7!D241</f>
        <v>0.21390000000000001</v>
      </c>
      <c r="BF17">
        <f>ASCd7!F241</f>
        <v>0.2258</v>
      </c>
      <c r="BG17">
        <f>ASCd7!H241</f>
        <v>1.1900000000000001E-2</v>
      </c>
      <c r="BK17" s="6">
        <f>'Age cont'!A227</f>
        <v>8</v>
      </c>
      <c r="BL17">
        <f>'Age cont'!B227</f>
        <v>0.65980000000000005</v>
      </c>
      <c r="BM17">
        <f>'Age cont'!D227</f>
        <v>0.1666</v>
      </c>
      <c r="BN17">
        <f>'Age cont'!F227</f>
        <v>0.1598</v>
      </c>
      <c r="BO17">
        <f>'Age cont'!H227</f>
        <v>1.38E-2</v>
      </c>
    </row>
    <row r="18" spans="1:67" x14ac:dyDescent="0.25">
      <c r="A18" s="7"/>
      <c r="B18" s="8">
        <f ca="1">B16/B17</f>
        <v>29.673553719008265</v>
      </c>
      <c r="C18" s="8">
        <f t="shared" ref="C18:E18" ca="1" si="0">C16/C17</f>
        <v>6.955223880597015</v>
      </c>
      <c r="D18" s="8">
        <f t="shared" ca="1" si="0"/>
        <v>7.4593023255813948</v>
      </c>
      <c r="E18" s="8">
        <f t="shared" ca="1" si="0"/>
        <v>2.2786885245901636</v>
      </c>
      <c r="N18" s="6" t="s">
        <v>120</v>
      </c>
      <c r="P18" s="6" t="str">
        <f ca="1">CONCATENATE("Cluster ",INDIRECT(CONCATENATE("'",$N$1,"'!B")&amp;($O$17-1)))</f>
        <v>Cluster 1</v>
      </c>
      <c r="Q18" s="6" t="str">
        <f ca="1">CONCATENATE("Cluster ",INDIRECT(CONCATENATE("'",$N$1,"'!D")&amp;($O$17-1)))</f>
        <v>Cluster 2</v>
      </c>
      <c r="R18" s="6" t="str">
        <f ca="1">CONCATENATE("Cluster ",INDIRECT(CONCATENATE("'",$N$1,"'!F")&amp;($O$17-1)))</f>
        <v>Cluster 3</v>
      </c>
      <c r="S18" s="6" t="str">
        <f ca="1">CONCATENATE("Cluster ",INDIRECT(CONCATENATE("'",$N$1,"'!H")&amp;($O$17-1)))</f>
        <v>Cluster 4</v>
      </c>
      <c r="AA18" s="7"/>
      <c r="AB18" s="8">
        <f ca="1">AB16/AB17</f>
        <v>26.242187499999996</v>
      </c>
      <c r="AC18" s="8">
        <f t="shared" ref="AC18:AE18" ca="1" si="1">AC16/AC17</f>
        <v>7.3424657534246576</v>
      </c>
      <c r="AD18" s="8">
        <f t="shared" ca="1" si="1"/>
        <v>8.0261780104712042</v>
      </c>
      <c r="AE18" s="8">
        <f t="shared" ca="1" si="1"/>
        <v>2.431034482758621</v>
      </c>
      <c r="AM18" s="6" t="s">
        <v>120</v>
      </c>
      <c r="AN18" s="6" t="str">
        <f ca="1">CONCATENATE("Cluster ",INDIRECT(CONCATENATE("'",$AM$1,"'!B")&amp;($AN$17-1)))</f>
        <v>Cluster 1</v>
      </c>
      <c r="AO18" s="6" t="str">
        <f ca="1">CONCATENATE("Cluster ",INDIRECT(CONCATENATE("'",$AM$1,"'!D")&amp;($AN$17-1)))</f>
        <v>Cluster 2</v>
      </c>
      <c r="AP18" s="6" t="str">
        <f ca="1">CONCATENATE("Cluster ",INDIRECT(CONCATENATE("'",$AM$1,"'!F")&amp;($AN$17-1)))</f>
        <v>Cluster 3</v>
      </c>
      <c r="AQ18" s="6" t="str">
        <f ca="1">CONCATENATE("Cluster ",INDIRECT(CONCATENATE("'",$AM$1,"'!H")&amp;($AN$17-1)))</f>
        <v>Cluster 4</v>
      </c>
      <c r="AZ18" s="7"/>
      <c r="BC18" s="6">
        <f>ASCd7!A242</f>
        <v>10</v>
      </c>
      <c r="BD18">
        <f>ASCd7!B242</f>
        <v>0.55149999999999999</v>
      </c>
      <c r="BE18">
        <f>ASCd7!D242</f>
        <v>0.21240000000000001</v>
      </c>
      <c r="BF18">
        <f>ASCd7!F242</f>
        <v>0.22409999999999999</v>
      </c>
      <c r="BG18">
        <f>ASCd7!H242</f>
        <v>1.2E-2</v>
      </c>
      <c r="BK18" s="6">
        <f>'Age cont'!A228</f>
        <v>9</v>
      </c>
      <c r="BL18">
        <f>'Age cont'!B228</f>
        <v>0.65980000000000005</v>
      </c>
      <c r="BM18">
        <f>'Age cont'!D228</f>
        <v>0.16639999999999999</v>
      </c>
      <c r="BN18">
        <f>'Age cont'!F228</f>
        <v>0.1598</v>
      </c>
      <c r="BO18">
        <f>'Age cont'!H228</f>
        <v>1.4E-2</v>
      </c>
    </row>
    <row r="19" spans="1:67" x14ac:dyDescent="0.25">
      <c r="A19" s="6" t="str">
        <f ca="1">INDIRECT(CONCATENATE("'",$A$1,"'!A")&amp;($B$13+1))</f>
        <v>Tend to disagree</v>
      </c>
      <c r="B19" s="9">
        <f ca="1">INDIRECT(CONCATENATE("'",$A$1,"'!B")&amp;($B$13+1))</f>
        <v>0.60389999999999999</v>
      </c>
      <c r="C19" s="9">
        <f ca="1">INDIRECT(CONCATENATE("'",$A$1,"'!D")&amp;($B$13+1))</f>
        <v>0.21149999999999999</v>
      </c>
      <c r="D19" s="9">
        <f ca="1">INDIRECT(CONCATENATE("'",$A$1,"'!F")&amp;($B$13+1))</f>
        <v>0.16769999999999999</v>
      </c>
      <c r="E19" s="9">
        <f ca="1">INDIRECT(CONCATENATE("'",$A$1,"'!H")&amp;($B$13+1))</f>
        <v>1.6899999999999998E-2</v>
      </c>
      <c r="P19" s="6" t="s">
        <v>290</v>
      </c>
      <c r="Q19" s="6" t="s">
        <v>291</v>
      </c>
      <c r="R19" s="6" t="s">
        <v>292</v>
      </c>
      <c r="S19" s="6" t="s">
        <v>293</v>
      </c>
      <c r="AA19" s="6" t="str">
        <f ca="1">INDIRECT(CONCATENATE("'",$AA$1,"'!A")&amp;($AB$13+1))</f>
        <v>Medium (20-99)</v>
      </c>
      <c r="AB19" s="9">
        <f ca="1">INDIRECT(CONCATENATE("'",$AA$1,"'!B")&amp;($AB$13+1))</f>
        <v>0.65920000000000001</v>
      </c>
      <c r="AC19" s="9">
        <f ca="1">INDIRECT(CONCATENATE("'",$AA$1,"'!D")&amp;($AB$13+1))</f>
        <v>0.1694</v>
      </c>
      <c r="AD19" s="9">
        <f ca="1">INDIRECT(CONCATENATE("'",$AA$1,"'!F")&amp;($AB$13+1))</f>
        <v>0.15240000000000001</v>
      </c>
      <c r="AE19" s="9">
        <f ca="1">INDIRECT(CONCATENATE("'",$AA$1,"'!H")&amp;($AB$13+1))</f>
        <v>1.9E-2</v>
      </c>
      <c r="AM19" s="6" t="s">
        <v>120</v>
      </c>
      <c r="AN19" s="6" t="s">
        <v>300</v>
      </c>
      <c r="AO19" s="6" t="s">
        <v>288</v>
      </c>
      <c r="AP19" s="6" t="s">
        <v>289</v>
      </c>
      <c r="AQ19" s="6" t="s">
        <v>287</v>
      </c>
      <c r="AZ19" s="6"/>
      <c r="BC19" s="6">
        <f>ASCd7!A243</f>
        <v>11</v>
      </c>
      <c r="BD19">
        <f>ASCd7!B243</f>
        <v>0.55300000000000005</v>
      </c>
      <c r="BE19">
        <f>ASCd7!D243</f>
        <v>0.2117</v>
      </c>
      <c r="BF19">
        <f>ASCd7!F243</f>
        <v>0.2233</v>
      </c>
      <c r="BG19">
        <f>ASCd7!H243</f>
        <v>1.2E-2</v>
      </c>
      <c r="BK19" s="6">
        <f>'Age cont'!A229</f>
        <v>10</v>
      </c>
      <c r="BL19">
        <f>'Age cont'!B229</f>
        <v>0.65969999999999995</v>
      </c>
      <c r="BM19">
        <f>'Age cont'!D229</f>
        <v>0.1663</v>
      </c>
      <c r="BN19">
        <f>'Age cont'!F229</f>
        <v>0.15989999999999999</v>
      </c>
      <c r="BO19">
        <f>'Age cont'!H229</f>
        <v>1.41E-2</v>
      </c>
    </row>
    <row r="20" spans="1:67" x14ac:dyDescent="0.25">
      <c r="A20" s="6"/>
      <c r="B20" s="9">
        <f ca="1">INDIRECT(CONCATENATE("'",$A$1,"'!C")&amp;($B$13+1))</f>
        <v>3.5299999999999998E-2</v>
      </c>
      <c r="C20" s="9">
        <f ca="1">INDIRECT(CONCATENATE("'",$A$1,"'!E")&amp;($B$13+1))</f>
        <v>3.1199999999999999E-2</v>
      </c>
      <c r="D20" s="9">
        <f ca="1">INDIRECT(CONCATENATE("'",$A$1,"'!G")&amp;($B$13+1))</f>
        <v>2.6499999999999999E-2</v>
      </c>
      <c r="E20" s="9">
        <f ca="1">INDIRECT(CONCATENATE("'",$A$1,"'!I")&amp;($B$13+1))</f>
        <v>8.6999999999999994E-3</v>
      </c>
      <c r="N20" s="6" t="str">
        <f ca="1">INDIRECT(CONCATENATE("'",$N$1,"'!A")&amp;($O$17))</f>
        <v>No obstacle</v>
      </c>
      <c r="O20" t="str">
        <f ca="1">LEFT(N20,FIND("obstacle",N20)-2)</f>
        <v>No</v>
      </c>
      <c r="P20" s="9">
        <f ca="1">INDIRECT(CONCATENATE("'",$N$1,"'!B")&amp;($O$17))</f>
        <v>0.77300000000000002</v>
      </c>
      <c r="Q20" s="9">
        <f ca="1">INDIRECT(CONCATENATE("'",$N$1,"'!D")&amp;($O$17))</f>
        <v>0.11600000000000001</v>
      </c>
      <c r="R20" s="9">
        <f ca="1">INDIRECT(CONCATENATE("'",$N$1,"'!F")&amp;($O$17))</f>
        <v>9.8400000000000001E-2</v>
      </c>
      <c r="S20" s="9">
        <f ca="1">INDIRECT(CONCATENATE("'",$N$1,"'!H")&amp;($O$17))</f>
        <v>1.2500000000000001E-2</v>
      </c>
      <c r="AA20" s="6"/>
      <c r="AB20" s="9">
        <f ca="1">INDIRECT(CONCATENATE("'",$AA$1,"'!C")&amp;($AB$13+1))</f>
        <v>3.2500000000000001E-2</v>
      </c>
      <c r="AC20" s="9">
        <f ca="1">INDIRECT(CONCATENATE("'",$AA$1,"'!E")&amp;($AB$13+1))</f>
        <v>2.81E-2</v>
      </c>
      <c r="AD20" s="9">
        <f ca="1">INDIRECT(CONCATENATE("'",$AA$1,"'!G")&amp;($AB$13+1))</f>
        <v>2.1600000000000001E-2</v>
      </c>
      <c r="AE20" s="9">
        <f ca="1">INDIRECT(CONCATENATE("'",$AA$1,"'!I")&amp;($AB$13+1))</f>
        <v>7.1999999999999998E-3</v>
      </c>
      <c r="AF20" s="9"/>
      <c r="AM20" s="6" t="str">
        <f ca="1">INDIRECT(CONCATENATE("'",$AM$1,"'!A")&amp;($AN$17))</f>
        <v>Argentina</v>
      </c>
      <c r="AN20">
        <f ca="1">INDIRECT(CONCATENATE("'",$AM$1,"'!B")&amp;($AN$17))</f>
        <v>0.67079999999999995</v>
      </c>
      <c r="AO20">
        <f ca="1">INDIRECT(CONCATENATE("'",$AM$1,"'!D")&amp;($AN$17))</f>
        <v>0.18559999999999999</v>
      </c>
      <c r="AP20">
        <f ca="1">INDIRECT(CONCATENATE("'",$AM$1,"'!F")&amp;($AN$17))</f>
        <v>0.12239999999999999</v>
      </c>
      <c r="AQ20">
        <f ca="1">INDIRECT(CONCATENATE("'",$AM$1,"'!H")&amp;($AN$17))</f>
        <v>2.12E-2</v>
      </c>
      <c r="AR20" t="s">
        <v>118</v>
      </c>
      <c r="AS20">
        <f ca="1">AN20-1.96*AN21</f>
        <v>0.61474399999999996</v>
      </c>
      <c r="AZ20" s="6"/>
      <c r="BC20" s="6">
        <f>ASCd7!A244</f>
        <v>15</v>
      </c>
      <c r="BD20">
        <f>ASCd7!B244</f>
        <v>0.55910000000000004</v>
      </c>
      <c r="BE20">
        <f>ASCd7!D244</f>
        <v>0.2087</v>
      </c>
      <c r="BF20">
        <f>ASCd7!F244</f>
        <v>0.22</v>
      </c>
      <c r="BG20">
        <f>ASCd7!H244</f>
        <v>1.2200000000000001E-2</v>
      </c>
      <c r="BK20" s="6">
        <f>'Age cont'!A230</f>
        <v>11</v>
      </c>
      <c r="BL20">
        <f>'Age cont'!B230</f>
        <v>0.65959999999999996</v>
      </c>
      <c r="BM20">
        <f>'Age cont'!D230</f>
        <v>0.16619999999999999</v>
      </c>
      <c r="BN20">
        <f>'Age cont'!F230</f>
        <v>0.16</v>
      </c>
      <c r="BO20">
        <f>'Age cont'!H230</f>
        <v>1.43E-2</v>
      </c>
    </row>
    <row r="21" spans="1:67" s="9" customFormat="1" x14ac:dyDescent="0.25">
      <c r="A21" s="7"/>
      <c r="B21" s="8">
        <f ca="1">B19/B20</f>
        <v>17.107648725212464</v>
      </c>
      <c r="C21" s="8">
        <f t="shared" ref="C21:E21" ca="1" si="2">C19/C20</f>
        <v>6.7788461538461542</v>
      </c>
      <c r="D21" s="8">
        <f t="shared" ca="1" si="2"/>
        <v>6.3283018867924525</v>
      </c>
      <c r="E21" s="8">
        <f t="shared" ca="1" si="2"/>
        <v>1.9425287356321839</v>
      </c>
      <c r="N21" s="6"/>
      <c r="P21" s="9">
        <f ca="1">INDIRECT(CONCATENATE("'",$N$1,"'!C")&amp;($O$17))</f>
        <v>3.2300000000000002E-2</v>
      </c>
      <c r="Q21" s="9">
        <f ca="1">INDIRECT(CONCATENATE("'",$N$1,"'!E")&amp;($O$17))</f>
        <v>2.87E-2</v>
      </c>
      <c r="R21" s="9">
        <f ca="1">INDIRECT(CONCATENATE("'",$N$1,"'!G")&amp;($O$17))</f>
        <v>2.0799999999999999E-2</v>
      </c>
      <c r="S21" s="9">
        <f ca="1">INDIRECT(CONCATENATE("'",$N$1,"'!I")&amp;($O$17))</f>
        <v>8.0999999999999996E-3</v>
      </c>
      <c r="AA21" s="7"/>
      <c r="AB21" s="8">
        <f ca="1">AB19/AB20</f>
        <v>20.283076923076923</v>
      </c>
      <c r="AC21" s="8">
        <f t="shared" ref="AC21:AE21" ca="1" si="3">AC19/AC20</f>
        <v>6.0284697508896796</v>
      </c>
      <c r="AD21" s="8">
        <f t="shared" ca="1" si="3"/>
        <v>7.0555555555555554</v>
      </c>
      <c r="AE21" s="8">
        <f t="shared" ca="1" si="3"/>
        <v>2.6388888888888888</v>
      </c>
      <c r="AF21"/>
      <c r="AG21"/>
      <c r="AH21"/>
      <c r="AI21"/>
      <c r="AJ21"/>
      <c r="AK21"/>
      <c r="AM21" s="6"/>
      <c r="AN21">
        <f ca="1">INDIRECT(CONCATENATE("'",$AM$1,"'!C")&amp;($AN$17))</f>
        <v>2.86E-2</v>
      </c>
      <c r="AO21">
        <f ca="1">INDIRECT(CONCATENATE("'",$AM$1,"'!E")&amp;($AN$17))</f>
        <v>2.52E-2</v>
      </c>
      <c r="AP21">
        <f ca="1">INDIRECT(CONCATENATE("'",$AM$1,"'!G")&amp;($AN$17))</f>
        <v>2.06E-2</v>
      </c>
      <c r="AQ21">
        <f ca="1">INDIRECT(CONCATENATE("'",$AM$1,"'!I")&amp;($AN$17))</f>
        <v>7.7999999999999996E-3</v>
      </c>
      <c r="AR21" t="s">
        <v>119</v>
      </c>
      <c r="AS21">
        <f ca="1">AN23+1.96*AN24</f>
        <v>0.63775199999999999</v>
      </c>
      <c r="AZ21" s="7"/>
      <c r="BB21"/>
      <c r="BC21" s="6">
        <f>ASCd7!A245</f>
        <v>20</v>
      </c>
      <c r="BD21">
        <f>ASCd7!B245</f>
        <v>0.56669999999999998</v>
      </c>
      <c r="BE21">
        <f>ASCd7!D245</f>
        <v>0.20499999999999999</v>
      </c>
      <c r="BF21">
        <f>ASCd7!F245</f>
        <v>0.21579999999999999</v>
      </c>
      <c r="BG21">
        <f>ASCd7!H245</f>
        <v>1.24E-2</v>
      </c>
      <c r="BK21" s="6">
        <f>'Age cont'!A231</f>
        <v>12</v>
      </c>
      <c r="BL21">
        <f>'Age cont'!B231</f>
        <v>0.65949999999999998</v>
      </c>
      <c r="BM21">
        <f>'Age cont'!D231</f>
        <v>0.16600000000000001</v>
      </c>
      <c r="BN21">
        <f>'Age cont'!F231</f>
        <v>0.16</v>
      </c>
      <c r="BO21">
        <f>'Age cont'!H231</f>
        <v>1.44E-2</v>
      </c>
    </row>
    <row r="22" spans="1:67" x14ac:dyDescent="0.25">
      <c r="A22" s="6" t="str">
        <f ca="1">INDIRECT(CONCATENATE("'",$A$1,"'!A")&amp;($B$13+2))</f>
        <v>Tend to agree</v>
      </c>
      <c r="B22" s="9">
        <f ca="1">INDIRECT(CONCATENATE("'",$A$1,"'!B")&amp;($B$13+2))</f>
        <v>0.50080000000000002</v>
      </c>
      <c r="C22" s="9">
        <f ca="1">INDIRECT(CONCATENATE("'",$A$1,"'!D")&amp;($B$13+2))</f>
        <v>0.19359999999999999</v>
      </c>
      <c r="D22" s="9">
        <f ca="1">INDIRECT(CONCATENATE("'",$A$1,"'!F")&amp;($B$13+2))</f>
        <v>0.27900000000000003</v>
      </c>
      <c r="E22" s="9">
        <f ca="1">INDIRECT(CONCATENATE("'",$A$1,"'!H")&amp;($B$13+2))</f>
        <v>2.6499999999999999E-2</v>
      </c>
      <c r="N22" s="7"/>
      <c r="P22" s="8">
        <f ca="1">P20/P21</f>
        <v>23.931888544891638</v>
      </c>
      <c r="Q22" s="8">
        <f t="shared" ref="Q22:S22" ca="1" si="4">Q20/Q21</f>
        <v>4.041811846689896</v>
      </c>
      <c r="R22" s="8">
        <f t="shared" ca="1" si="4"/>
        <v>4.7307692307692308</v>
      </c>
      <c r="S22" s="8">
        <f t="shared" ca="1" si="4"/>
        <v>1.5432098765432101</v>
      </c>
      <c r="AA22" s="6" t="str">
        <f ca="1">INDIRECT(CONCATENATE("'",$AA$1,"'!A")&amp;($AB$13+2))</f>
        <v>Large (100-399)</v>
      </c>
      <c r="AB22" s="9">
        <f ca="1">INDIRECT(CONCATENATE("'",$AA$1,"'!B")&amp;($AB$13+2))</f>
        <v>0.59419999999999995</v>
      </c>
      <c r="AC22" s="9">
        <f ca="1">INDIRECT(CONCATENATE("'",$AA$1,"'!D")&amp;($AB$13+2))</f>
        <v>0.17780000000000001</v>
      </c>
      <c r="AD22" s="9">
        <f ca="1">INDIRECT(CONCATENATE("'",$AA$1,"'!F")&amp;($AB$13+2))</f>
        <v>0.2026</v>
      </c>
      <c r="AE22" s="9">
        <f ca="1">INDIRECT(CONCATENATE("'",$AA$1,"'!H")&amp;($AB$13+2))</f>
        <v>2.53E-2</v>
      </c>
      <c r="AM22" s="7"/>
      <c r="AN22" s="8">
        <f ca="1">AN20/AN21</f>
        <v>23.454545454545453</v>
      </c>
      <c r="AO22" s="8">
        <f ca="1">AO20/AO21</f>
        <v>7.3650793650793647</v>
      </c>
      <c r="AP22" s="8">
        <f ca="1">AP20/AP21</f>
        <v>5.941747572815534</v>
      </c>
      <c r="AQ22" s="8">
        <f ca="1">AQ20/AQ21</f>
        <v>2.7179487179487181</v>
      </c>
      <c r="AR22" s="9"/>
      <c r="AS22" s="9"/>
      <c r="BC22" s="6">
        <f>ASCd7!A246</f>
        <v>22</v>
      </c>
      <c r="BD22">
        <f>ASCd7!B246</f>
        <v>0.56969999999999998</v>
      </c>
      <c r="BE22">
        <f>ASCd7!D246</f>
        <v>0.20349999999999999</v>
      </c>
      <c r="BF22">
        <f>ASCd7!F246</f>
        <v>0.2142</v>
      </c>
      <c r="BG22">
        <f>ASCd7!H246</f>
        <v>1.2500000000000001E-2</v>
      </c>
      <c r="BK22" s="6">
        <f>'Age cont'!A232</f>
        <v>13</v>
      </c>
      <c r="BL22">
        <f>'Age cont'!B232</f>
        <v>0.65949999999999998</v>
      </c>
      <c r="BM22">
        <f>'Age cont'!D232</f>
        <v>0.16589999999999999</v>
      </c>
      <c r="BN22">
        <f>'Age cont'!F232</f>
        <v>0.16009999999999999</v>
      </c>
      <c r="BO22">
        <f>'Age cont'!H232</f>
        <v>1.46E-2</v>
      </c>
    </row>
    <row r="23" spans="1:67" x14ac:dyDescent="0.25">
      <c r="A23" s="6"/>
      <c r="B23" s="9">
        <f ca="1">INDIRECT(CONCATENATE("'",$A$1,"'!C")&amp;($B$13+2))</f>
        <v>5.8900000000000001E-2</v>
      </c>
      <c r="C23" s="9">
        <f ca="1">INDIRECT(CONCATENATE("'",$A$1,"'!E")&amp;($B$13+2))</f>
        <v>5.8999999999999997E-2</v>
      </c>
      <c r="D23" s="9">
        <f ca="1">INDIRECT(CONCATENATE("'",$A$1,"'!G")&amp;($B$13+2))</f>
        <v>5.4199999999999998E-2</v>
      </c>
      <c r="E23" s="9">
        <f ca="1">INDIRECT(CONCATENATE("'",$A$1,"'!I")&amp;($B$13+2))</f>
        <v>1.0800000000000001E-2</v>
      </c>
      <c r="N23" s="6" t="str">
        <f ca="1">INDIRECT(CONCATENATE("'",$N$1,"'!A")&amp;($O$17+1))</f>
        <v>Minor obstacle</v>
      </c>
      <c r="O23" t="str">
        <f ca="1">LEFT(N23,FIND("obstacle",N23)-2)</f>
        <v>Minor</v>
      </c>
      <c r="P23" s="9">
        <f ca="1">INDIRECT(CONCATENATE("'",$N$1,"'!B")&amp;($O$17+1))</f>
        <v>0.61099999999999999</v>
      </c>
      <c r="Q23" s="9">
        <f ca="1">INDIRECT(CONCATENATE("'",$N$1,"'!D")&amp;($O$17+1))</f>
        <v>0.16309999999999999</v>
      </c>
      <c r="R23" s="9">
        <f ca="1">INDIRECT(CONCATENATE("'",$N$1,"'!F")&amp;($O$17+1))</f>
        <v>0.19370000000000001</v>
      </c>
      <c r="S23" s="9">
        <f ca="1">INDIRECT(CONCATENATE("'",$N$1,"'!H")&amp;($O$17+1))</f>
        <v>3.2199999999999999E-2</v>
      </c>
      <c r="AA23" s="6"/>
      <c r="AB23" s="9">
        <f ca="1">INDIRECT(CONCATENATE("'",$AA$1,"'!C")&amp;($AB$13+2))</f>
        <v>5.67E-2</v>
      </c>
      <c r="AC23" s="9">
        <f ca="1">INDIRECT(CONCATENATE("'",$AA$1,"'!E")&amp;($AB$13+2))</f>
        <v>4.3200000000000002E-2</v>
      </c>
      <c r="AD23" s="9">
        <f ca="1">INDIRECT(CONCATENATE("'",$AA$1,"'!G")&amp;($AB$13+2))</f>
        <v>4.5100000000000001E-2</v>
      </c>
      <c r="AE23" s="9">
        <f ca="1">INDIRECT(CONCATENATE("'",$AA$1,"'!I")&amp;($AB$13+2))</f>
        <v>2.1700000000000001E-2</v>
      </c>
      <c r="AF23" s="9"/>
      <c r="AG23" s="9"/>
      <c r="AH23" s="9"/>
      <c r="AI23" s="9"/>
      <c r="AJ23" s="9"/>
      <c r="AK23" s="9"/>
      <c r="AM23" s="6" t="str">
        <f ca="1">INDIRECT(CONCATENATE("'",$AM$1,"'!A")&amp;($AN$17+1))</f>
        <v>Bolivia</v>
      </c>
      <c r="AN23">
        <f ca="1">INDIRECT(CONCATENATE("'",$AM$1,"'!B")&amp;($AN$17+1))</f>
        <v>0.51780000000000004</v>
      </c>
      <c r="AO23">
        <f ca="1">INDIRECT(CONCATENATE("'",$AM$1,"'!D")&amp;($AN$17+1))</f>
        <v>0.24049999999999999</v>
      </c>
      <c r="AP23">
        <f ca="1">INDIRECT(CONCATENATE("'",$AM$1,"'!F")&amp;($AN$17+1))</f>
        <v>0.2235</v>
      </c>
      <c r="AQ23">
        <f ca="1">INDIRECT(CONCATENATE("'",$AM$1,"'!H")&amp;($AN$17+1))</f>
        <v>1.83E-2</v>
      </c>
      <c r="BB23" s="9"/>
      <c r="BC23" s="6">
        <f>ASCd7!A247</f>
        <v>30</v>
      </c>
      <c r="BD23">
        <f>ASCd7!B247</f>
        <v>0.58179999999999998</v>
      </c>
      <c r="BE23">
        <f>ASCd7!D247</f>
        <v>0.19769999999999999</v>
      </c>
      <c r="BF23">
        <f>ASCd7!F247</f>
        <v>0.2077</v>
      </c>
      <c r="BG23">
        <f>ASCd7!H247</f>
        <v>1.29E-2</v>
      </c>
      <c r="BK23" s="6">
        <f>'Age cont'!A233</f>
        <v>14</v>
      </c>
      <c r="BL23">
        <f>'Age cont'!B233</f>
        <v>0.65939999999999999</v>
      </c>
      <c r="BM23">
        <f>'Age cont'!D233</f>
        <v>0.16569999999999999</v>
      </c>
      <c r="BN23">
        <f>'Age cont'!F233</f>
        <v>0.16020000000000001</v>
      </c>
      <c r="BO23">
        <f>'Age cont'!H233</f>
        <v>1.47E-2</v>
      </c>
    </row>
    <row r="24" spans="1:67" s="9" customFormat="1" x14ac:dyDescent="0.25">
      <c r="A24" s="7"/>
      <c r="B24" s="8">
        <f ca="1">B22/B23</f>
        <v>8.5025466893039052</v>
      </c>
      <c r="C24" s="8">
        <f t="shared" ref="C24:E24" ca="1" si="5">C22/C23</f>
        <v>3.2813559322033901</v>
      </c>
      <c r="D24" s="8">
        <f t="shared" ca="1" si="5"/>
        <v>5.1476014760147608</v>
      </c>
      <c r="E24" s="8">
        <f t="shared" ca="1" si="5"/>
        <v>2.4537037037037037</v>
      </c>
      <c r="N24" s="6"/>
      <c r="P24" s="9">
        <f ca="1">INDIRECT(CONCATENATE("'",$N$1,"'!C")&amp;($O$17+1))</f>
        <v>4.4400000000000002E-2</v>
      </c>
      <c r="Q24" s="9">
        <f ca="1">INDIRECT(CONCATENATE("'",$N$1,"'!E")&amp;($O$17+1))</f>
        <v>3.49E-2</v>
      </c>
      <c r="R24" s="9">
        <f ca="1">INDIRECT(CONCATENATE("'",$N$1,"'!G")&amp;($O$17+1))</f>
        <v>3.5400000000000001E-2</v>
      </c>
      <c r="S24" s="9">
        <f ca="1">INDIRECT(CONCATENATE("'",$N$1,"'!I")&amp;($O$17+1))</f>
        <v>1.55E-2</v>
      </c>
      <c r="AA24" s="7"/>
      <c r="AB24" s="8">
        <f ca="1">AB22/AB23</f>
        <v>10.479717813051145</v>
      </c>
      <c r="AC24" s="8">
        <f t="shared" ref="AC24:AE24" ca="1" si="6">AC22/AC23</f>
        <v>4.1157407407407405</v>
      </c>
      <c r="AD24" s="8">
        <f t="shared" ca="1" si="6"/>
        <v>4.4922394678492239</v>
      </c>
      <c r="AE24" s="8">
        <f t="shared" ca="1" si="6"/>
        <v>1.1658986175115207</v>
      </c>
      <c r="AF24"/>
      <c r="AG24"/>
      <c r="AH24"/>
      <c r="AI24"/>
      <c r="AJ24"/>
      <c r="AK24"/>
      <c r="AM24" s="6"/>
      <c r="AN24">
        <f ca="1">INDIRECT(CONCATENATE("'",$AM$1,"'!C")&amp;($AN$17+1))</f>
        <v>6.1199999999999997E-2</v>
      </c>
      <c r="AO24">
        <f ca="1">INDIRECT(CONCATENATE("'",$AM$1,"'!E")&amp;($AN$17+1))</f>
        <v>6.7699999999999996E-2</v>
      </c>
      <c r="AP24">
        <f ca="1">INDIRECT(CONCATENATE("'",$AM$1,"'!G")&amp;($AN$17+1))</f>
        <v>4.6600000000000003E-2</v>
      </c>
      <c r="AQ24">
        <f ca="1">INDIRECT(CONCATENATE("'",$AM$1,"'!I")&amp;($AN$17+1))</f>
        <v>8.9999999999999993E-3</v>
      </c>
      <c r="AR24"/>
      <c r="AS24"/>
      <c r="AZ24"/>
      <c r="BB24"/>
      <c r="BC24" s="6">
        <f>ASCd7!A248</f>
        <v>40</v>
      </c>
      <c r="BD24">
        <f>ASCd7!B248</f>
        <v>0.59660000000000002</v>
      </c>
      <c r="BE24">
        <f>ASCd7!D248</f>
        <v>0.19040000000000001</v>
      </c>
      <c r="BF24">
        <f>ASCd7!F248</f>
        <v>0.1996</v>
      </c>
      <c r="BG24">
        <f>ASCd7!H248</f>
        <v>1.3299999999999999E-2</v>
      </c>
      <c r="BK24" s="6">
        <f>'Age cont'!A234</f>
        <v>15</v>
      </c>
      <c r="BL24">
        <f>'Age cont'!B234</f>
        <v>0.6593</v>
      </c>
      <c r="BM24">
        <f>'Age cont'!D234</f>
        <v>0.1656</v>
      </c>
      <c r="BN24">
        <f>'Age cont'!F234</f>
        <v>0.16020000000000001</v>
      </c>
      <c r="BO24">
        <f>'Age cont'!H234</f>
        <v>1.49E-2</v>
      </c>
    </row>
    <row r="25" spans="1:67" x14ac:dyDescent="0.25">
      <c r="A25" s="6" t="str">
        <f ca="1">INDIRECT(CONCATENATE("'",$A$1,"'!A")&amp;($B$13+3))</f>
        <v>Strongly agree</v>
      </c>
      <c r="B25" s="9">
        <f ca="1">INDIRECT(CONCATENATE("'",$A$1,"'!B")&amp;($B$13+3))</f>
        <v>0.57199999999999995</v>
      </c>
      <c r="C25" s="9">
        <f ca="1">INDIRECT(CONCATENATE("'",$A$1,"'!D")&amp;($B$13+3))</f>
        <v>0.1085</v>
      </c>
      <c r="D25" s="9">
        <f ca="1">INDIRECT(CONCATENATE("'",$A$1,"'!F")&amp;($B$13+3))</f>
        <v>0.3135</v>
      </c>
      <c r="E25" s="9">
        <f ca="1">INDIRECT(CONCATENATE("'",$A$1,"'!H")&amp;($B$13+3))</f>
        <v>6.0000000000000001E-3</v>
      </c>
      <c r="N25" s="7"/>
      <c r="P25" s="8">
        <f ca="1">P23/P24</f>
        <v>13.761261261261261</v>
      </c>
      <c r="Q25" s="8">
        <f t="shared" ref="Q25:S25" ca="1" si="7">Q23/Q24</f>
        <v>4.6733524355300862</v>
      </c>
      <c r="R25" s="8">
        <f t="shared" ca="1" si="7"/>
        <v>5.4717514124293789</v>
      </c>
      <c r="S25" s="8">
        <f t="shared" ca="1" si="7"/>
        <v>2.0774193548387099</v>
      </c>
      <c r="AA25" s="6" t="str">
        <f ca="1">INDIRECT(CONCATENATE("'",$AA$1,"'!A")&amp;($AB$13+3))</f>
        <v>Very large (400+)</v>
      </c>
      <c r="AB25" s="9">
        <f ca="1">INDIRECT(CONCATENATE("'",$AA$1,"'!B")&amp;($AB$13+3))</f>
        <v>0.39040000000000002</v>
      </c>
      <c r="AC25" s="9">
        <f ca="1">INDIRECT(CONCATENATE("'",$AA$1,"'!D")&amp;($AB$13+3))</f>
        <v>0.24610000000000001</v>
      </c>
      <c r="AD25" s="9">
        <f ca="1">INDIRECT(CONCATENATE("'",$AA$1,"'!F")&amp;($AB$13+3))</f>
        <v>0.34350000000000003</v>
      </c>
      <c r="AE25" s="9">
        <f ca="1">INDIRECT(CONCATENATE("'",$AA$1,"'!H")&amp;($AB$13+3))</f>
        <v>0.02</v>
      </c>
      <c r="AM25" s="7"/>
      <c r="AN25" s="8">
        <f ca="1">AN23/AN24</f>
        <v>8.4607843137254903</v>
      </c>
      <c r="AO25" s="8">
        <f ca="1">AO23/AO24</f>
        <v>3.552437223042836</v>
      </c>
      <c r="AP25" s="8">
        <f ca="1">AP23/AP24</f>
        <v>4.796137339055794</v>
      </c>
      <c r="AQ25" s="8">
        <f ca="1">AQ23/AQ24</f>
        <v>2.0333333333333337</v>
      </c>
      <c r="AR25" s="9"/>
      <c r="AS25" s="9"/>
      <c r="BC25" s="6">
        <f>ASCd7!A249</f>
        <v>50</v>
      </c>
      <c r="BD25">
        <f>ASCd7!B249</f>
        <v>0.61129999999999995</v>
      </c>
      <c r="BE25">
        <f>ASCd7!D249</f>
        <v>0.18329999999999999</v>
      </c>
      <c r="BF25">
        <f>ASCd7!F249</f>
        <v>0.19159999999999999</v>
      </c>
      <c r="BG25">
        <f>ASCd7!H249</f>
        <v>1.38E-2</v>
      </c>
      <c r="BK25" s="6">
        <f>'Age cont'!A235</f>
        <v>16</v>
      </c>
      <c r="BL25">
        <f>'Age cont'!B235</f>
        <v>0.65920000000000001</v>
      </c>
      <c r="BM25">
        <f>'Age cont'!D235</f>
        <v>0.16539999999999999</v>
      </c>
      <c r="BN25">
        <f>'Age cont'!F235</f>
        <v>0.1603</v>
      </c>
      <c r="BO25">
        <f>'Age cont'!H235</f>
        <v>1.4999999999999999E-2</v>
      </c>
    </row>
    <row r="26" spans="1:67" x14ac:dyDescent="0.25">
      <c r="A26" s="6"/>
      <c r="B26" s="9">
        <f ca="1">INDIRECT(CONCATENATE("'",$A$1,"'!C")&amp;($B$13+3))</f>
        <v>0.1013</v>
      </c>
      <c r="C26" s="9">
        <f ca="1">INDIRECT(CONCATENATE("'",$A$1,"'!E")&amp;($B$13+3))</f>
        <v>4.6600000000000003E-2</v>
      </c>
      <c r="D26" s="9">
        <f ca="1">INDIRECT(CONCATENATE("'",$A$1,"'!G")&amp;($B$13+3))</f>
        <v>0.1048</v>
      </c>
      <c r="E26" s="9">
        <f ca="1">INDIRECT(CONCATENATE("'",$A$1,"'!I")&amp;($B$13+3))</f>
        <v>6.8999999999999999E-3</v>
      </c>
      <c r="N26" s="6" t="str">
        <f ca="1">INDIRECT(CONCATENATE("'",$N$1,"'!A")&amp;($O$17+2))</f>
        <v>Moderate obstacle</v>
      </c>
      <c r="O26" t="str">
        <f ca="1">LEFT(N26,FIND("obstacle",N26)-2)</f>
        <v>Moderate</v>
      </c>
      <c r="P26" s="9">
        <f ca="1">INDIRECT(CONCATENATE("'",$N$1,"'!B")&amp;($O$17+2))</f>
        <v>0.60399999999999998</v>
      </c>
      <c r="Q26" s="9">
        <f ca="1">INDIRECT(CONCATENATE("'",$N$1,"'!D")&amp;($O$17+2))</f>
        <v>0.19040000000000001</v>
      </c>
      <c r="R26" s="9">
        <f ca="1">INDIRECT(CONCATENATE("'",$N$1,"'!F")&amp;($O$17+2))</f>
        <v>0.19439999999999999</v>
      </c>
      <c r="S26" s="9">
        <f ca="1">INDIRECT(CONCATENATE("'",$N$1,"'!H")&amp;($O$17+2))</f>
        <v>1.12E-2</v>
      </c>
      <c r="AA26" s="6"/>
      <c r="AB26" s="9">
        <f ca="1">INDIRECT(CONCATENATE("'",$AA$1,"'!C")&amp;($AB$13+3))</f>
        <v>7.2599999999999998E-2</v>
      </c>
      <c r="AC26" s="9">
        <f ca="1">INDIRECT(CONCATENATE("'",$AA$1,"'!E")&amp;($AB$13+3))</f>
        <v>6.5299999999999997E-2</v>
      </c>
      <c r="AD26" s="9">
        <f ca="1">INDIRECT(CONCATENATE("'",$AA$1,"'!G")&amp;($AB$13+3))</f>
        <v>9.5899999999999999E-2</v>
      </c>
      <c r="AE26" s="9">
        <f ca="1">INDIRECT(CONCATENATE("'",$AA$1,"'!I")&amp;($AB$13+3))</f>
        <v>1.89E-2</v>
      </c>
      <c r="AG26" s="9"/>
      <c r="AH26" s="9"/>
      <c r="AI26" s="9"/>
      <c r="AJ26" s="9"/>
      <c r="AK26" s="9"/>
      <c r="AM26" s="6" t="str">
        <f ca="1">INDIRECT(CONCATENATE("'",$AM$1,"'!A")&amp;($AN$17+2))</f>
        <v>Ecuador</v>
      </c>
      <c r="AN26">
        <f ca="1">INDIRECT(CONCATENATE("'",$AM$1,"'!B")&amp;($AN$17+2))</f>
        <v>0.64700000000000002</v>
      </c>
      <c r="AO26">
        <f ca="1">INDIRECT(CONCATENATE("'",$AM$1,"'!D")&amp;($AN$17+2))</f>
        <v>0.1181</v>
      </c>
      <c r="AP26">
        <f ca="1">INDIRECT(CONCATENATE("'",$AM$1,"'!F")&amp;($AN$17+2))</f>
        <v>0.22939999999999999</v>
      </c>
      <c r="AQ26">
        <f ca="1">INDIRECT(CONCATENATE("'",$AM$1,"'!H")&amp;($AN$17+2))</f>
        <v>5.4999999999999997E-3</v>
      </c>
      <c r="BB26" s="9"/>
      <c r="BC26" s="6">
        <f>ASCd7!A250</f>
        <v>60</v>
      </c>
      <c r="BD26">
        <f>ASCd7!B250</f>
        <v>0.62570000000000003</v>
      </c>
      <c r="BE26">
        <f>ASCd7!D250</f>
        <v>0.1762</v>
      </c>
      <c r="BF26">
        <f>ASCd7!F250</f>
        <v>0.18379999999999999</v>
      </c>
      <c r="BG26">
        <f>ASCd7!H250</f>
        <v>1.4200000000000001E-2</v>
      </c>
      <c r="BK26" s="6">
        <f>'Age cont'!A236</f>
        <v>17</v>
      </c>
      <c r="BL26">
        <f>'Age cont'!B236</f>
        <v>0.65920000000000001</v>
      </c>
      <c r="BM26">
        <f>'Age cont'!D236</f>
        <v>0.1653</v>
      </c>
      <c r="BN26">
        <f>'Age cont'!F236</f>
        <v>0.16039999999999999</v>
      </c>
      <c r="BO26">
        <f>'Age cont'!H236</f>
        <v>1.52E-2</v>
      </c>
    </row>
    <row r="27" spans="1:67" s="9" customFormat="1" x14ac:dyDescent="0.25">
      <c r="A27" s="7"/>
      <c r="B27" s="8">
        <f ca="1">B25/B26</f>
        <v>5.6465942744323785</v>
      </c>
      <c r="C27" s="8">
        <f t="shared" ref="C27:E27" ca="1" si="8">C25/C26</f>
        <v>2.3283261802575104</v>
      </c>
      <c r="D27" s="8">
        <f t="shared" ca="1" si="8"/>
        <v>2.9914122137404577</v>
      </c>
      <c r="E27" s="8">
        <f t="shared" ca="1" si="8"/>
        <v>0.86956521739130443</v>
      </c>
      <c r="N27" s="6"/>
      <c r="P27" s="9">
        <f ca="1">INDIRECT(CONCATENATE("'",$N$1,"'!C")&amp;($O$17+2))</f>
        <v>4.3099999999999999E-2</v>
      </c>
      <c r="Q27" s="9">
        <f ca="1">INDIRECT(CONCATENATE("'",$N$1,"'!E")&amp;($O$17+2))</f>
        <v>3.7499999999999999E-2</v>
      </c>
      <c r="R27" s="9">
        <f ca="1">INDIRECT(CONCATENATE("'",$N$1,"'!G")&amp;($O$17+2))</f>
        <v>3.3099999999999997E-2</v>
      </c>
      <c r="S27" s="9">
        <f ca="1">INDIRECT(CONCATENATE("'",$N$1,"'!I")&amp;($O$17+2))</f>
        <v>8.8000000000000005E-3</v>
      </c>
      <c r="AA27" s="7"/>
      <c r="AB27" s="8">
        <f ca="1">AB25/AB26</f>
        <v>5.3774104683195594</v>
      </c>
      <c r="AC27" s="8">
        <f t="shared" ref="AC27:AE27" ca="1" si="9">AC25/AC26</f>
        <v>3.7687595712098014</v>
      </c>
      <c r="AD27" s="8">
        <f t="shared" ca="1" si="9"/>
        <v>3.5818561001042757</v>
      </c>
      <c r="AE27" s="8">
        <f t="shared" ca="1" si="9"/>
        <v>1.0582010582010581</v>
      </c>
      <c r="AF27"/>
      <c r="AG27"/>
      <c r="AH27"/>
      <c r="AI27"/>
      <c r="AJ27"/>
      <c r="AK27"/>
      <c r="AM27" s="6"/>
      <c r="AN27">
        <f ca="1">INDIRECT(CONCATENATE("'",$AM$1,"'!C")&amp;($AN$17+2))</f>
        <v>4.3400000000000001E-2</v>
      </c>
      <c r="AO27">
        <f ca="1">INDIRECT(CONCATENATE("'",$AM$1,"'!E")&amp;($AN$17+2))</f>
        <v>3.1399999999999997E-2</v>
      </c>
      <c r="AP27">
        <f ca="1">INDIRECT(CONCATENATE("'",$AM$1,"'!G")&amp;($AN$17+2))</f>
        <v>3.5000000000000003E-2</v>
      </c>
      <c r="AQ27">
        <f ca="1">INDIRECT(CONCATENATE("'",$AM$1,"'!I")&amp;($AN$17+2))</f>
        <v>3.3999999999999998E-3</v>
      </c>
      <c r="AR27"/>
      <c r="AS27"/>
      <c r="AZ27"/>
      <c r="BB27"/>
      <c r="BC27" s="6">
        <f>ASCd7!A251</f>
        <v>65</v>
      </c>
      <c r="BD27">
        <f>ASCd7!B251</f>
        <v>0.63280000000000003</v>
      </c>
      <c r="BE27">
        <f>ASCd7!D251</f>
        <v>0.17269999999999999</v>
      </c>
      <c r="BF27">
        <f>ASCd7!F251</f>
        <v>0.18</v>
      </c>
      <c r="BG27">
        <f>ASCd7!H251</f>
        <v>1.4500000000000001E-2</v>
      </c>
      <c r="BK27" s="6">
        <f>'Age cont'!A237</f>
        <v>18</v>
      </c>
      <c r="BL27">
        <f>'Age cont'!B237</f>
        <v>0.65910000000000002</v>
      </c>
      <c r="BM27">
        <f>'Age cont'!D237</f>
        <v>0.16520000000000001</v>
      </c>
      <c r="BN27">
        <f>'Age cont'!F237</f>
        <v>0.16039999999999999</v>
      </c>
      <c r="BO27">
        <f>'Age cont'!H237</f>
        <v>1.5299999999999999E-2</v>
      </c>
    </row>
    <row r="28" spans="1:67" x14ac:dyDescent="0.25">
      <c r="N28" s="7"/>
      <c r="P28" s="8">
        <f ca="1">P26/P27</f>
        <v>14.013921113689095</v>
      </c>
      <c r="Q28" s="8">
        <f t="shared" ref="Q28:S28" ca="1" si="10">Q26/Q27</f>
        <v>5.0773333333333337</v>
      </c>
      <c r="R28" s="8">
        <f t="shared" ca="1" si="10"/>
        <v>5.8731117824773413</v>
      </c>
      <c r="S28" s="8">
        <f t="shared" ca="1" si="10"/>
        <v>1.2727272727272727</v>
      </c>
      <c r="AM28" s="7"/>
      <c r="AN28" s="8">
        <f ca="1">AN26/AN27</f>
        <v>14.907834101382489</v>
      </c>
      <c r="AO28" s="8">
        <f ca="1">AO26/AO27</f>
        <v>3.7611464968152868</v>
      </c>
      <c r="AP28" s="8">
        <f ca="1">AP26/AP27</f>
        <v>6.5542857142857134</v>
      </c>
      <c r="AQ28" s="8">
        <f ca="1">AQ26/AQ27</f>
        <v>1.6176470588235294</v>
      </c>
      <c r="AR28" s="9"/>
      <c r="AS28" s="9"/>
      <c r="BC28" s="6">
        <f>ASCd7!A252</f>
        <v>68</v>
      </c>
      <c r="BD28">
        <f>ASCd7!B252</f>
        <v>0.6371</v>
      </c>
      <c r="BE28">
        <f>ASCd7!D252</f>
        <v>0.1706</v>
      </c>
      <c r="BF28">
        <f>ASCd7!F252</f>
        <v>0.1777</v>
      </c>
      <c r="BG28">
        <f>ASCd7!H252</f>
        <v>1.46E-2</v>
      </c>
      <c r="BK28" s="6">
        <f>'Age cont'!A238</f>
        <v>19</v>
      </c>
      <c r="BL28">
        <f>'Age cont'!B238</f>
        <v>0.65900000000000003</v>
      </c>
      <c r="BM28">
        <f>'Age cont'!D238</f>
        <v>0.16500000000000001</v>
      </c>
      <c r="BN28">
        <f>'Age cont'!F238</f>
        <v>0.1605</v>
      </c>
      <c r="BO28">
        <f>'Age cont'!H238</f>
        <v>1.55E-2</v>
      </c>
    </row>
    <row r="29" spans="1:67" x14ac:dyDescent="0.25">
      <c r="N29" s="6" t="str">
        <f ca="1">INDIRECT(CONCATENATE("'",$N$1,"'!A")&amp;($O$17+3))</f>
        <v>Major obstacle</v>
      </c>
      <c r="O29" t="str">
        <f ca="1">LEFT(N29,FIND("obstacle",N29)-2)</f>
        <v>Major</v>
      </c>
      <c r="P29" s="9">
        <f ca="1">INDIRECT(CONCATENATE("'",$N$1,"'!B")&amp;($O$17+3))</f>
        <v>0.58989999999999998</v>
      </c>
      <c r="Q29" s="9">
        <f ca="1">INDIRECT(CONCATENATE("'",$N$1,"'!D")&amp;($O$17+3))</f>
        <v>0.24129999999999999</v>
      </c>
      <c r="R29" s="9">
        <f ca="1">INDIRECT(CONCATENATE("'",$N$1,"'!F")&amp;($O$17+3))</f>
        <v>0.159</v>
      </c>
      <c r="S29" s="9">
        <f ca="1">INDIRECT(CONCATENATE("'",$N$1,"'!H")&amp;($O$17+3))</f>
        <v>9.7999999999999997E-3</v>
      </c>
      <c r="AM29" s="6" t="str">
        <f ca="1">INDIRECT(CONCATENATE("'",$AM$1,"'!A")&amp;($AN$17+3))</f>
        <v>Paraguay</v>
      </c>
      <c r="AN29">
        <f ca="1">INDIRECT(CONCATENATE("'",$AM$1,"'!B")&amp;($AN$17+3))</f>
        <v>0.71379999999999999</v>
      </c>
      <c r="AO29">
        <f ca="1">INDIRECT(CONCATENATE("'",$AM$1,"'!D")&amp;($AN$17+3))</f>
        <v>0.13070000000000001</v>
      </c>
      <c r="AP29">
        <f ca="1">INDIRECT(CONCATENATE("'",$AM$1,"'!F")&amp;($AN$17+3))</f>
        <v>0.14940000000000001</v>
      </c>
      <c r="AQ29">
        <f ca="1">INDIRECT(CONCATENATE("'",$AM$1,"'!H")&amp;($AN$17+3))</f>
        <v>6.1000000000000004E-3</v>
      </c>
      <c r="BC29" s="6">
        <f>ASCd7!A253</f>
        <v>70</v>
      </c>
      <c r="BD29">
        <f>ASCd7!B253</f>
        <v>0.63990000000000002</v>
      </c>
      <c r="BE29">
        <f>ASCd7!D253</f>
        <v>0.16919999999999999</v>
      </c>
      <c r="BF29">
        <f>ASCd7!F253</f>
        <v>0.1762</v>
      </c>
      <c r="BG29">
        <f>ASCd7!H253</f>
        <v>1.47E-2</v>
      </c>
      <c r="BK29" s="6">
        <f>'Age cont'!A239</f>
        <v>20</v>
      </c>
      <c r="BL29">
        <f>'Age cont'!B239</f>
        <v>0.65890000000000004</v>
      </c>
      <c r="BM29">
        <f>'Age cont'!D239</f>
        <v>0.16489999999999999</v>
      </c>
      <c r="BN29">
        <f>'Age cont'!F239</f>
        <v>0.16059999999999999</v>
      </c>
      <c r="BO29">
        <f>'Age cont'!H239</f>
        <v>1.5599999999999999E-2</v>
      </c>
    </row>
    <row r="30" spans="1:67" s="9" customFormat="1" x14ac:dyDescent="0.25">
      <c r="N30" s="6"/>
      <c r="P30" s="9">
        <f ca="1">INDIRECT(CONCATENATE("'",$N$1,"'!C")&amp;($O$17+3))</f>
        <v>4.5499999999999999E-2</v>
      </c>
      <c r="Q30" s="9">
        <f ca="1">INDIRECT(CONCATENATE("'",$N$1,"'!E")&amp;($O$17+3))</f>
        <v>4.2500000000000003E-2</v>
      </c>
      <c r="R30" s="9">
        <f ca="1">INDIRECT(CONCATENATE("'",$N$1,"'!G")&amp;($O$17+3))</f>
        <v>3.1800000000000002E-2</v>
      </c>
      <c r="S30" s="9">
        <f ca="1">INDIRECT(CONCATENATE("'",$N$1,"'!I")&amp;($O$17+3))</f>
        <v>4.4999999999999997E-3</v>
      </c>
      <c r="AA30"/>
      <c r="AB30"/>
      <c r="AC30"/>
      <c r="AD30"/>
      <c r="AE30"/>
      <c r="AF30"/>
      <c r="AM30" s="6"/>
      <c r="AN30">
        <f ca="1">INDIRECT(CONCATENATE("'",$AM$1,"'!C")&amp;($AN$17+3))</f>
        <v>3.4799999999999998E-2</v>
      </c>
      <c r="AO30">
        <f ca="1">INDIRECT(CONCATENATE("'",$AM$1,"'!E")&amp;($AN$17+3))</f>
        <v>2.4400000000000002E-2</v>
      </c>
      <c r="AP30">
        <f ca="1">INDIRECT(CONCATENATE("'",$AM$1,"'!G")&amp;($AN$17+3))</f>
        <v>2.41E-2</v>
      </c>
      <c r="AQ30">
        <f ca="1">INDIRECT(CONCATENATE("'",$AM$1,"'!I")&amp;($AN$17+3))</f>
        <v>4.7999999999999996E-3</v>
      </c>
      <c r="AR30"/>
      <c r="AS30"/>
      <c r="AZ30"/>
      <c r="BC30" s="6">
        <f>ASCd7!A254</f>
        <v>75</v>
      </c>
      <c r="BD30">
        <f>ASCd7!B254</f>
        <v>0.64690000000000003</v>
      </c>
      <c r="BE30">
        <f>ASCd7!D254</f>
        <v>0.1658</v>
      </c>
      <c r="BF30">
        <f>ASCd7!F254</f>
        <v>0.1724</v>
      </c>
      <c r="BG30">
        <f>ASCd7!H254</f>
        <v>1.49E-2</v>
      </c>
      <c r="BK30" s="6">
        <f>'Age cont'!A240</f>
        <v>21</v>
      </c>
      <c r="BL30">
        <f>'Age cont'!B240</f>
        <v>0.65880000000000005</v>
      </c>
      <c r="BM30">
        <f>'Age cont'!D240</f>
        <v>0.16470000000000001</v>
      </c>
      <c r="BN30">
        <f>'Age cont'!F240</f>
        <v>0.16059999999999999</v>
      </c>
      <c r="BO30">
        <f>'Age cont'!H240</f>
        <v>1.5800000000000002E-2</v>
      </c>
    </row>
    <row r="31" spans="1:67" x14ac:dyDescent="0.25">
      <c r="N31" s="7"/>
      <c r="P31" s="8">
        <f ca="1">P29/P30</f>
        <v>12.964835164835165</v>
      </c>
      <c r="Q31" s="8">
        <f t="shared" ref="Q31:S31" ca="1" si="11">Q29/Q30</f>
        <v>5.6776470588235286</v>
      </c>
      <c r="R31" s="8">
        <f t="shared" ca="1" si="11"/>
        <v>5</v>
      </c>
      <c r="S31" s="8">
        <f t="shared" ca="1" si="11"/>
        <v>2.177777777777778</v>
      </c>
      <c r="AM31" s="7"/>
      <c r="AN31" s="8">
        <f ca="1">AN29/AN30</f>
        <v>20.511494252873565</v>
      </c>
      <c r="AO31" s="8">
        <f ca="1">AO29/AO30</f>
        <v>5.3565573770491808</v>
      </c>
      <c r="AP31" s="8">
        <f ca="1">AP29/AP30</f>
        <v>6.199170124481328</v>
      </c>
      <c r="AQ31" s="8">
        <f ca="1">AQ29/AQ30</f>
        <v>1.2708333333333335</v>
      </c>
      <c r="AR31" s="9"/>
      <c r="AS31" s="9"/>
      <c r="BC31" s="6">
        <f>ASCd7!A255</f>
        <v>80</v>
      </c>
      <c r="BD31">
        <f>ASCd7!B255</f>
        <v>0.65380000000000005</v>
      </c>
      <c r="BE31">
        <f>ASCd7!D255</f>
        <v>0.16239999999999999</v>
      </c>
      <c r="BF31">
        <f>ASCd7!F255</f>
        <v>0.16869999999999999</v>
      </c>
      <c r="BG31">
        <f>ASCd7!H255</f>
        <v>1.52E-2</v>
      </c>
      <c r="BK31" s="6">
        <f>'Age cont'!A241</f>
        <v>22</v>
      </c>
      <c r="BL31">
        <f>'Age cont'!B241</f>
        <v>0.65869999999999995</v>
      </c>
      <c r="BM31">
        <f>'Age cont'!D241</f>
        <v>0.1646</v>
      </c>
      <c r="BN31">
        <f>'Age cont'!F241</f>
        <v>0.16070000000000001</v>
      </c>
      <c r="BO31">
        <f>'Age cont'!H241</f>
        <v>1.6E-2</v>
      </c>
    </row>
    <row r="32" spans="1:67" x14ac:dyDescent="0.25">
      <c r="A32" s="6"/>
      <c r="N32" s="6" t="str">
        <f ca="1">INDIRECT(CONCATENATE("'",$N$1,"'!A")&amp;($O$17+4))</f>
        <v>Very severe obstacle</v>
      </c>
      <c r="O32" t="str">
        <f ca="1">LEFT(N32,FIND("obstacle",N32)-2)</f>
        <v>Very severe</v>
      </c>
      <c r="P32" s="9">
        <f ca="1">INDIRECT(CONCATENATE("'",$N$1,"'!B")&amp;($O$17+4))</f>
        <v>0.59719999999999995</v>
      </c>
      <c r="Q32" s="9">
        <f ca="1">INDIRECT(CONCATENATE("'",$N$1,"'!D")&amp;($O$17+4))</f>
        <v>0.15820000000000001</v>
      </c>
      <c r="R32" s="9">
        <f ca="1">INDIRECT(CONCATENATE("'",$N$1,"'!F")&amp;($O$17+4))</f>
        <v>0.21759999999999999</v>
      </c>
      <c r="S32" s="9">
        <f ca="1">INDIRECT(CONCATENATE("'",$N$1,"'!H")&amp;($O$17+4))</f>
        <v>2.7099999999999999E-2</v>
      </c>
      <c r="AM32" s="6" t="str">
        <f ca="1">INDIRECT(CONCATENATE("'",$AM$1,"'!A")&amp;($AN$17+4))</f>
        <v>Peru</v>
      </c>
      <c r="AN32">
        <f ca="1">INDIRECT(CONCATENATE("'",$AM$1,"'!B")&amp;($AN$17+4))</f>
        <v>0.73150000000000004</v>
      </c>
      <c r="AO32">
        <f ca="1">INDIRECT(CONCATENATE("'",$AM$1,"'!D")&amp;($AN$17+4))</f>
        <v>0.12189999999999999</v>
      </c>
      <c r="AP32">
        <f ca="1">INDIRECT(CONCATENATE("'",$AM$1,"'!F")&amp;($AN$17+4))</f>
        <v>0.1457</v>
      </c>
      <c r="AQ32">
        <f ca="1">INDIRECT(CONCATENATE("'",$AM$1,"'!H")&amp;($AN$17+4))</f>
        <v>1E-3</v>
      </c>
      <c r="BC32" s="6">
        <f>ASCd7!A256</f>
        <v>82</v>
      </c>
      <c r="BD32">
        <f>ASCd7!B256</f>
        <v>0.65649999999999997</v>
      </c>
      <c r="BE32">
        <f>ASCd7!D256</f>
        <v>0.16109999999999999</v>
      </c>
      <c r="BF32">
        <f>ASCd7!F256</f>
        <v>0.16719999999999999</v>
      </c>
      <c r="BG32">
        <f>ASCd7!H256</f>
        <v>1.5299999999999999E-2</v>
      </c>
      <c r="BK32" s="6">
        <f>'Age cont'!A242</f>
        <v>23</v>
      </c>
      <c r="BL32">
        <f>'Age cont'!B242</f>
        <v>0.65869999999999995</v>
      </c>
      <c r="BM32">
        <f>'Age cont'!D242</f>
        <v>0.16439999999999999</v>
      </c>
      <c r="BN32">
        <f>'Age cont'!F242</f>
        <v>0.1608</v>
      </c>
      <c r="BO32">
        <f>'Age cont'!H242</f>
        <v>1.61E-2</v>
      </c>
    </row>
    <row r="33" spans="1:67" s="9" customFormat="1" x14ac:dyDescent="0.25">
      <c r="A33" s="7"/>
      <c r="B33" s="8"/>
      <c r="C33" s="8"/>
      <c r="D33" s="8"/>
      <c r="E33" s="8"/>
      <c r="N33" s="6"/>
      <c r="P33" s="9">
        <f ca="1">INDIRECT(CONCATENATE("'",$N$1,"'!C")&amp;($O$17+4))</f>
        <v>5.8000000000000003E-2</v>
      </c>
      <c r="Q33" s="9">
        <f ca="1">INDIRECT(CONCATENATE("'",$N$1,"'!E")&amp;($O$17+4))</f>
        <v>4.41E-2</v>
      </c>
      <c r="R33" s="9">
        <f ca="1">INDIRECT(CONCATENATE("'",$N$1,"'!G")&amp;($O$17+4))</f>
        <v>5.33E-2</v>
      </c>
      <c r="S33" s="9">
        <f ca="1">INDIRECT(CONCATENATE("'",$N$1,"'!I")&amp;($O$17+4))</f>
        <v>1.6400000000000001E-2</v>
      </c>
      <c r="AM33" s="6"/>
      <c r="AN33">
        <f ca="1">INDIRECT(CONCATENATE("'",$AM$1,"'!C")&amp;($AN$17+4))</f>
        <v>2.8000000000000001E-2</v>
      </c>
      <c r="AO33">
        <f ca="1">INDIRECT(CONCATENATE("'",$AM$1,"'!E")&amp;($AN$17+4))</f>
        <v>2.2499999999999999E-2</v>
      </c>
      <c r="AP33">
        <f ca="1">INDIRECT(CONCATENATE("'",$AM$1,"'!G")&amp;($AN$17+4))</f>
        <v>2.1000000000000001E-2</v>
      </c>
      <c r="AQ33">
        <f ca="1">INDIRECT(CONCATENATE("'",$AM$1,"'!I")&amp;($AN$17+4))</f>
        <v>8.9999999999999998E-4</v>
      </c>
      <c r="AR33"/>
      <c r="AS33"/>
      <c r="BC33" s="6">
        <f>ASCd7!A257</f>
        <v>85</v>
      </c>
      <c r="BD33">
        <f>ASCd7!B257</f>
        <v>0.66059999999999997</v>
      </c>
      <c r="BE33">
        <f>ASCd7!D257</f>
        <v>0.159</v>
      </c>
      <c r="BF33">
        <f>ASCd7!F257</f>
        <v>0.16500000000000001</v>
      </c>
      <c r="BG33">
        <f>ASCd7!H257</f>
        <v>1.54E-2</v>
      </c>
      <c r="BK33" s="6">
        <f>'Age cont'!A243</f>
        <v>24</v>
      </c>
      <c r="BL33">
        <f>'Age cont'!B243</f>
        <v>0.65859999999999996</v>
      </c>
      <c r="BM33">
        <f>'Age cont'!D243</f>
        <v>0.1643</v>
      </c>
      <c r="BN33">
        <f>'Age cont'!F243</f>
        <v>0.1608</v>
      </c>
      <c r="BO33">
        <f>'Age cont'!H243</f>
        <v>1.6299999999999999E-2</v>
      </c>
    </row>
    <row r="34" spans="1:67" x14ac:dyDescent="0.25">
      <c r="A34" s="6"/>
      <c r="N34" s="7"/>
      <c r="P34" s="8">
        <f ca="1">P32/P33</f>
        <v>10.296551724137929</v>
      </c>
      <c r="Q34" s="8">
        <f t="shared" ref="Q34:S34" ca="1" si="12">Q32/Q33</f>
        <v>3.5873015873015874</v>
      </c>
      <c r="R34" s="8">
        <f t="shared" ca="1" si="12"/>
        <v>4.0825515947467164</v>
      </c>
      <c r="S34" s="8">
        <f t="shared" ca="1" si="12"/>
        <v>1.6524390243902438</v>
      </c>
      <c r="AM34" s="7"/>
      <c r="AN34" s="8">
        <f ca="1">AN32/AN33</f>
        <v>26.125</v>
      </c>
      <c r="AO34" s="8">
        <f ca="1">AO32/AO33</f>
        <v>5.4177777777777774</v>
      </c>
      <c r="AP34" s="8">
        <f ca="1">AP32/AP33</f>
        <v>6.9380952380952374</v>
      </c>
      <c r="AQ34" s="8">
        <f ca="1">AQ32/AQ33</f>
        <v>1.1111111111111112</v>
      </c>
      <c r="AR34" s="9"/>
      <c r="AS34" s="9"/>
      <c r="BC34" s="6">
        <f>ASCd7!A258</f>
        <v>87</v>
      </c>
      <c r="BD34">
        <f>ASCd7!B258</f>
        <v>0.6633</v>
      </c>
      <c r="BE34">
        <f>ASCd7!D258</f>
        <v>0.15770000000000001</v>
      </c>
      <c r="BF34">
        <f>ASCd7!F258</f>
        <v>0.16350000000000001</v>
      </c>
      <c r="BG34">
        <f>ASCd7!H258</f>
        <v>1.55E-2</v>
      </c>
      <c r="BK34" s="6">
        <f>'Age cont'!A244</f>
        <v>25</v>
      </c>
      <c r="BL34">
        <f>'Age cont'!B244</f>
        <v>0.65849999999999997</v>
      </c>
      <c r="BM34">
        <f>'Age cont'!D244</f>
        <v>0.1641</v>
      </c>
      <c r="BN34">
        <f>'Age cont'!F244</f>
        <v>0.16089999999999999</v>
      </c>
      <c r="BO34">
        <f>'Age cont'!H244</f>
        <v>1.6500000000000001E-2</v>
      </c>
    </row>
    <row r="35" spans="1:67" x14ac:dyDescent="0.25">
      <c r="AM35" s="6" t="str">
        <f ca="1">INDIRECT(CONCATENATE("'",$AM$1,"'!A")&amp;($AN$17+5))</f>
        <v>Uruguay</v>
      </c>
      <c r="AN35">
        <f ca="1">INDIRECT(CONCATENATE("'",$AM$1,"'!B")&amp;($AN$17+5))</f>
        <v>0.6139</v>
      </c>
      <c r="AO35">
        <f ca="1">INDIRECT(CONCATENATE("'",$AM$1,"'!D")&amp;($AN$17+5))</f>
        <v>0.14899999999999999</v>
      </c>
      <c r="AP35">
        <f ca="1">INDIRECT(CONCATENATE("'",$AM$1,"'!F")&amp;($AN$17+5))</f>
        <v>0.2001</v>
      </c>
      <c r="AQ35">
        <f ca="1">INDIRECT(CONCATENATE("'",$AM$1,"'!H")&amp;($AN$17+5))</f>
        <v>3.6999999999999998E-2</v>
      </c>
      <c r="BC35" s="6">
        <f>ASCd7!A259</f>
        <v>90</v>
      </c>
      <c r="BD35">
        <f>ASCd7!B259</f>
        <v>0.6673</v>
      </c>
      <c r="BE35">
        <f>ASCd7!D259</f>
        <v>0.15570000000000001</v>
      </c>
      <c r="BF35">
        <f>ASCd7!F259</f>
        <v>0.16139999999999999</v>
      </c>
      <c r="BG35">
        <f>ASCd7!H259</f>
        <v>1.5599999999999999E-2</v>
      </c>
      <c r="BK35" s="6">
        <f>'Age cont'!A245</f>
        <v>26</v>
      </c>
      <c r="BL35">
        <f>'Age cont'!B245</f>
        <v>0.65839999999999999</v>
      </c>
      <c r="BM35">
        <f>'Age cont'!D245</f>
        <v>0.16400000000000001</v>
      </c>
      <c r="BN35">
        <f>'Age cont'!F245</f>
        <v>0.161</v>
      </c>
      <c r="BO35">
        <f>'Age cont'!H245</f>
        <v>1.66E-2</v>
      </c>
    </row>
    <row r="36" spans="1:67" s="9" customFormat="1" x14ac:dyDescent="0.25">
      <c r="A36" s="7"/>
      <c r="B36" s="8"/>
      <c r="C36" s="8"/>
      <c r="D36" s="8"/>
      <c r="E36" s="8"/>
      <c r="N36"/>
      <c r="O36"/>
      <c r="P36"/>
      <c r="Q36"/>
      <c r="R36"/>
      <c r="S36"/>
      <c r="AM36"/>
      <c r="AN36">
        <f ca="1">INDIRECT(CONCATENATE("'",$AM$1,"'!C")&amp;($AN$17+5))</f>
        <v>5.0299999999999997E-2</v>
      </c>
      <c r="AO36">
        <f ca="1">INDIRECT(CONCATENATE("'",$AM$1,"'!E")&amp;($AN$17+5))</f>
        <v>3.8600000000000002E-2</v>
      </c>
      <c r="AP36">
        <f ca="1">INDIRECT(CONCATENATE("'",$AM$1,"'!G")&amp;($AN$17+5))</f>
        <v>4.07E-2</v>
      </c>
      <c r="AQ36">
        <f ca="1">INDIRECT(CONCATENATE("'",$AM$1,"'!I")&amp;($AN$17+5))</f>
        <v>2.1299999999999999E-2</v>
      </c>
      <c r="AR36"/>
      <c r="AS36"/>
      <c r="BC36" s="6">
        <f>ASCd7!A260</f>
        <v>91</v>
      </c>
      <c r="BD36">
        <f>ASCd7!B260</f>
        <v>0.66869999999999996</v>
      </c>
      <c r="BE36">
        <f>ASCd7!D260</f>
        <v>0.15509999999999999</v>
      </c>
      <c r="BF36">
        <f>ASCd7!F260</f>
        <v>0.16059999999999999</v>
      </c>
      <c r="BG36">
        <f>ASCd7!H260</f>
        <v>1.5699999999999999E-2</v>
      </c>
      <c r="BK36" s="6">
        <f>'Age cont'!A246</f>
        <v>27</v>
      </c>
      <c r="BL36">
        <f>'Age cont'!B246</f>
        <v>0.6583</v>
      </c>
      <c r="BM36">
        <f>'Age cont'!D246</f>
        <v>0.1638</v>
      </c>
      <c r="BN36">
        <f>'Age cont'!F246</f>
        <v>0.161</v>
      </c>
      <c r="BO36">
        <f>'Age cont'!H246</f>
        <v>1.6799999999999999E-2</v>
      </c>
    </row>
    <row r="37" spans="1:67" x14ac:dyDescent="0.25">
      <c r="AM37" s="7"/>
      <c r="AN37" s="8">
        <f ca="1">AN35/AN36</f>
        <v>12.204771371769384</v>
      </c>
      <c r="AO37" s="8">
        <f t="shared" ref="AO37" ca="1" si="13">AO35/AO36</f>
        <v>3.8601036269430047</v>
      </c>
      <c r="AP37" s="8">
        <f t="shared" ref="AP37" ca="1" si="14">AP35/AP36</f>
        <v>4.9164619164619161</v>
      </c>
      <c r="AQ37" s="8">
        <f t="shared" ref="AQ37" ca="1" si="15">AQ35/AQ36</f>
        <v>1.7370892018779343</v>
      </c>
      <c r="AR37" s="9"/>
      <c r="AS37" s="9"/>
      <c r="BC37" s="6">
        <f>ASCd7!A261</f>
        <v>92</v>
      </c>
      <c r="BD37">
        <f>ASCd7!B261</f>
        <v>0.67</v>
      </c>
      <c r="BE37">
        <f>ASCd7!D261</f>
        <v>0.15440000000000001</v>
      </c>
      <c r="BF37">
        <f>ASCd7!F261</f>
        <v>0.15989999999999999</v>
      </c>
      <c r="BG37">
        <f>ASCd7!H261</f>
        <v>1.5699999999999999E-2</v>
      </c>
      <c r="BK37" s="6">
        <f>'Age cont'!A247</f>
        <v>28</v>
      </c>
      <c r="BL37">
        <f>'Age cont'!B247</f>
        <v>0.65820000000000001</v>
      </c>
      <c r="BM37">
        <f>'Age cont'!D247</f>
        <v>0.16370000000000001</v>
      </c>
      <c r="BN37">
        <f>'Age cont'!F247</f>
        <v>0.16109999999999999</v>
      </c>
      <c r="BO37">
        <f>'Age cont'!H247</f>
        <v>1.7000000000000001E-2</v>
      </c>
    </row>
    <row r="38" spans="1:67" x14ac:dyDescent="0.25">
      <c r="BC38" s="6">
        <f>ASCd7!A262</f>
        <v>93</v>
      </c>
      <c r="BD38">
        <f>ASCd7!B262</f>
        <v>0.67130000000000001</v>
      </c>
      <c r="BE38">
        <f>ASCd7!D262</f>
        <v>0.1537</v>
      </c>
      <c r="BF38">
        <f>ASCd7!F262</f>
        <v>0.15920000000000001</v>
      </c>
      <c r="BG38">
        <f>ASCd7!H262</f>
        <v>1.5800000000000002E-2</v>
      </c>
      <c r="BK38" s="6">
        <f>'Age cont'!A248</f>
        <v>29</v>
      </c>
      <c r="BL38">
        <f>'Age cont'!B248</f>
        <v>0.65810000000000002</v>
      </c>
      <c r="BM38">
        <f>'Age cont'!D248</f>
        <v>0.1636</v>
      </c>
      <c r="BN38">
        <f>'Age cont'!F248</f>
        <v>0.16120000000000001</v>
      </c>
      <c r="BO38">
        <f>'Age cont'!H248</f>
        <v>1.72E-2</v>
      </c>
    </row>
    <row r="39" spans="1:67" x14ac:dyDescent="0.25">
      <c r="BC39" s="6">
        <f>ASCd7!A263</f>
        <v>94</v>
      </c>
      <c r="BD39">
        <f>ASCd7!B263</f>
        <v>0.67269999999999996</v>
      </c>
      <c r="BE39">
        <f>ASCd7!D263</f>
        <v>0.15310000000000001</v>
      </c>
      <c r="BF39">
        <f>ASCd7!F263</f>
        <v>0.1585</v>
      </c>
      <c r="BG39">
        <f>ASCd7!H263</f>
        <v>1.5800000000000002E-2</v>
      </c>
      <c r="BK39" s="6">
        <f>'Age cont'!A249</f>
        <v>30</v>
      </c>
      <c r="BL39">
        <f>'Age cont'!B249</f>
        <v>0.65800000000000003</v>
      </c>
      <c r="BM39">
        <f>'Age cont'!D249</f>
        <v>0.16339999999999999</v>
      </c>
      <c r="BN39">
        <f>'Age cont'!F249</f>
        <v>0.16120000000000001</v>
      </c>
      <c r="BO39">
        <f>'Age cont'!H249</f>
        <v>1.7299999999999999E-2</v>
      </c>
    </row>
    <row r="40" spans="1:67" x14ac:dyDescent="0.25">
      <c r="BC40" s="6">
        <f>ASCd7!A264</f>
        <v>95</v>
      </c>
      <c r="BD40">
        <f>ASCd7!B264</f>
        <v>0.67400000000000004</v>
      </c>
      <c r="BE40">
        <f>ASCd7!D264</f>
        <v>0.15240000000000001</v>
      </c>
      <c r="BF40">
        <f>ASCd7!F264</f>
        <v>0.1578</v>
      </c>
      <c r="BG40">
        <f>ASCd7!H264</f>
        <v>1.5800000000000002E-2</v>
      </c>
      <c r="BK40" s="6">
        <f>'Age cont'!A250</f>
        <v>31</v>
      </c>
      <c r="BL40">
        <f>'Age cont'!B250</f>
        <v>0.65790000000000004</v>
      </c>
      <c r="BM40">
        <f>'Age cont'!D250</f>
        <v>0.1633</v>
      </c>
      <c r="BN40">
        <f>'Age cont'!F250</f>
        <v>0.1613</v>
      </c>
      <c r="BO40">
        <f>'Age cont'!H250</f>
        <v>1.7500000000000002E-2</v>
      </c>
    </row>
    <row r="41" spans="1:67" x14ac:dyDescent="0.25">
      <c r="BC41" s="6">
        <f>ASCd7!A265</f>
        <v>96</v>
      </c>
      <c r="BD41">
        <f>ASCd7!B265</f>
        <v>0.67530000000000001</v>
      </c>
      <c r="BE41">
        <f>ASCd7!D265</f>
        <v>0.15179999999999999</v>
      </c>
      <c r="BF41">
        <f>ASCd7!F265</f>
        <v>0.157</v>
      </c>
      <c r="BG41">
        <f>ASCd7!H265</f>
        <v>1.5900000000000001E-2</v>
      </c>
      <c r="BK41" s="6">
        <f>'Age cont'!A251</f>
        <v>32</v>
      </c>
      <c r="BL41">
        <f>'Age cont'!B251</f>
        <v>0.65780000000000005</v>
      </c>
      <c r="BM41">
        <f>'Age cont'!D251</f>
        <v>0.16309999999999999</v>
      </c>
      <c r="BN41">
        <f>'Age cont'!F251</f>
        <v>0.16139999999999999</v>
      </c>
      <c r="BO41">
        <f>'Age cont'!H251</f>
        <v>1.77E-2</v>
      </c>
    </row>
    <row r="42" spans="1:67" x14ac:dyDescent="0.25">
      <c r="BC42" s="6">
        <f>ASCd7!A266</f>
        <v>97</v>
      </c>
      <c r="BD42">
        <f>ASCd7!B266</f>
        <v>0.67659999999999998</v>
      </c>
      <c r="BE42">
        <f>ASCd7!D266</f>
        <v>0.15110000000000001</v>
      </c>
      <c r="BF42">
        <f>ASCd7!F266</f>
        <v>0.15629999999999999</v>
      </c>
      <c r="BG42">
        <f>ASCd7!H266</f>
        <v>1.5900000000000001E-2</v>
      </c>
      <c r="BK42" s="6">
        <f>'Age cont'!A252</f>
        <v>33</v>
      </c>
      <c r="BL42">
        <f>'Age cont'!B252</f>
        <v>0.65769999999999995</v>
      </c>
      <c r="BM42">
        <f>'Age cont'!D252</f>
        <v>0.16300000000000001</v>
      </c>
      <c r="BN42">
        <f>'Age cont'!F252</f>
        <v>0.16139999999999999</v>
      </c>
      <c r="BO42">
        <f>'Age cont'!H252</f>
        <v>1.7899999999999999E-2</v>
      </c>
    </row>
    <row r="43" spans="1:67" x14ac:dyDescent="0.25">
      <c r="BC43" s="6">
        <f>ASCd7!A267</f>
        <v>98</v>
      </c>
      <c r="BD43">
        <f>ASCd7!B267</f>
        <v>0.67789999999999995</v>
      </c>
      <c r="BE43">
        <f>ASCd7!D267</f>
        <v>0.15049999999999999</v>
      </c>
      <c r="BF43">
        <f>ASCd7!F267</f>
        <v>0.15559999999999999</v>
      </c>
      <c r="BG43">
        <f>ASCd7!H267</f>
        <v>1.6E-2</v>
      </c>
      <c r="BK43" s="6">
        <f>'Age cont'!A253</f>
        <v>34</v>
      </c>
      <c r="BL43">
        <f>'Age cont'!B253</f>
        <v>0.65759999999999996</v>
      </c>
      <c r="BM43">
        <f>'Age cont'!D253</f>
        <v>0.1628</v>
      </c>
      <c r="BN43">
        <f>'Age cont'!F253</f>
        <v>0.1615</v>
      </c>
      <c r="BO43">
        <f>'Age cont'!H253</f>
        <v>1.8100000000000002E-2</v>
      </c>
    </row>
    <row r="44" spans="1:67" x14ac:dyDescent="0.25">
      <c r="BC44" s="6">
        <f>ASCd7!A268</f>
        <v>99</v>
      </c>
      <c r="BD44">
        <f>ASCd7!B268</f>
        <v>0.67920000000000003</v>
      </c>
      <c r="BE44">
        <f>ASCd7!D268</f>
        <v>0.14979999999999999</v>
      </c>
      <c r="BF44">
        <f>ASCd7!F268</f>
        <v>0.15490000000000001</v>
      </c>
      <c r="BG44">
        <f>ASCd7!H268</f>
        <v>1.6E-2</v>
      </c>
      <c r="BK44" s="6">
        <f>'Age cont'!A254</f>
        <v>35</v>
      </c>
      <c r="BL44">
        <f>'Age cont'!B254</f>
        <v>0.65749999999999997</v>
      </c>
      <c r="BM44">
        <f>'Age cont'!D254</f>
        <v>0.16270000000000001</v>
      </c>
      <c r="BN44">
        <f>'Age cont'!F254</f>
        <v>0.16159999999999999</v>
      </c>
      <c r="BO44">
        <f>'Age cont'!H254</f>
        <v>1.8200000000000001E-2</v>
      </c>
    </row>
    <row r="45" spans="1:67" x14ac:dyDescent="0.25">
      <c r="BC45" s="6">
        <f>ASCd7!A269</f>
        <v>100</v>
      </c>
      <c r="BD45">
        <f>ASCd7!B269</f>
        <v>0.68059999999999998</v>
      </c>
      <c r="BE45">
        <f>ASCd7!D269</f>
        <v>0.1492</v>
      </c>
      <c r="BF45">
        <f>ASCd7!F269</f>
        <v>0.1542</v>
      </c>
      <c r="BG45">
        <f>ASCd7!H269</f>
        <v>1.61E-2</v>
      </c>
      <c r="BK45" s="6">
        <f>'Age cont'!A255</f>
        <v>36</v>
      </c>
      <c r="BL45">
        <f>'Age cont'!B255</f>
        <v>0.65739999999999998</v>
      </c>
      <c r="BM45">
        <f>'Age cont'!D255</f>
        <v>0.16250000000000001</v>
      </c>
      <c r="BN45">
        <f>'Age cont'!F255</f>
        <v>0.16159999999999999</v>
      </c>
      <c r="BO45">
        <f>'Age cont'!H255</f>
        <v>1.84E-2</v>
      </c>
    </row>
    <row r="46" spans="1:67" x14ac:dyDescent="0.25">
      <c r="BC46" s="6"/>
      <c r="BK46" s="6">
        <f>'Age cont'!A256</f>
        <v>37</v>
      </c>
      <c r="BL46">
        <f>'Age cont'!B256</f>
        <v>0.6573</v>
      </c>
      <c r="BM46">
        <f>'Age cont'!D256</f>
        <v>0.16239999999999999</v>
      </c>
      <c r="BN46">
        <f>'Age cont'!F256</f>
        <v>0.16170000000000001</v>
      </c>
      <c r="BO46">
        <f>'Age cont'!H256</f>
        <v>1.8599999999999998E-2</v>
      </c>
    </row>
    <row r="47" spans="1:67" x14ac:dyDescent="0.25">
      <c r="BK47" s="6">
        <f>'Age cont'!A257</f>
        <v>38</v>
      </c>
      <c r="BL47">
        <f>'Age cont'!B257</f>
        <v>0.65720000000000001</v>
      </c>
      <c r="BM47">
        <f>'Age cont'!D257</f>
        <v>0.16220000000000001</v>
      </c>
      <c r="BN47">
        <f>'Age cont'!F257</f>
        <v>0.16170000000000001</v>
      </c>
      <c r="BO47">
        <f>'Age cont'!H257</f>
        <v>1.8800000000000001E-2</v>
      </c>
    </row>
    <row r="48" spans="1:67" x14ac:dyDescent="0.25">
      <c r="BK48" s="6">
        <f>'Age cont'!A258</f>
        <v>39</v>
      </c>
      <c r="BL48">
        <f>'Age cont'!B258</f>
        <v>0.65710000000000002</v>
      </c>
      <c r="BM48">
        <f>'Age cont'!D258</f>
        <v>0.16209999999999999</v>
      </c>
      <c r="BN48">
        <f>'Age cont'!F258</f>
        <v>0.1618</v>
      </c>
      <c r="BO48">
        <f>'Age cont'!H258</f>
        <v>1.9E-2</v>
      </c>
    </row>
    <row r="49" spans="63:67" x14ac:dyDescent="0.25">
      <c r="BK49" s="6">
        <f>'Age cont'!A259</f>
        <v>40</v>
      </c>
      <c r="BL49">
        <f>'Age cont'!B259</f>
        <v>0.65700000000000003</v>
      </c>
      <c r="BM49">
        <f>'Age cont'!D259</f>
        <v>0.16189999999999999</v>
      </c>
      <c r="BN49">
        <f>'Age cont'!F259</f>
        <v>0.16189999999999999</v>
      </c>
      <c r="BO49">
        <f>'Age cont'!H259</f>
        <v>1.9199999999999998E-2</v>
      </c>
    </row>
    <row r="50" spans="63:67" x14ac:dyDescent="0.25">
      <c r="BK50" s="6">
        <f>'Age cont'!A260</f>
        <v>41</v>
      </c>
      <c r="BL50">
        <f>'Age cont'!B260</f>
        <v>0.65690000000000004</v>
      </c>
      <c r="BM50">
        <f>'Age cont'!D260</f>
        <v>0.1618</v>
      </c>
      <c r="BN50">
        <f>'Age cont'!F260</f>
        <v>0.16189999999999999</v>
      </c>
      <c r="BO50">
        <f>'Age cont'!H260</f>
        <v>1.9400000000000001E-2</v>
      </c>
    </row>
    <row r="51" spans="63:67" x14ac:dyDescent="0.25">
      <c r="BK51" s="6">
        <f>'Age cont'!A261</f>
        <v>42</v>
      </c>
      <c r="BL51">
        <f>'Age cont'!B261</f>
        <v>0.65680000000000005</v>
      </c>
      <c r="BM51">
        <f>'Age cont'!D261</f>
        <v>0.16159999999999999</v>
      </c>
      <c r="BN51">
        <f>'Age cont'!F261</f>
        <v>0.16200000000000001</v>
      </c>
      <c r="BO51">
        <f>'Age cont'!H261</f>
        <v>1.9599999999999999E-2</v>
      </c>
    </row>
    <row r="52" spans="63:67" x14ac:dyDescent="0.25">
      <c r="BK52" s="6">
        <f>'Age cont'!A262</f>
        <v>43</v>
      </c>
      <c r="BL52">
        <f>'Age cont'!B262</f>
        <v>0.65669999999999995</v>
      </c>
      <c r="BM52">
        <f>'Age cont'!D262</f>
        <v>0.1615</v>
      </c>
      <c r="BN52">
        <f>'Age cont'!F262</f>
        <v>0.16200000000000001</v>
      </c>
      <c r="BO52">
        <f>'Age cont'!H262</f>
        <v>1.9800000000000002E-2</v>
      </c>
    </row>
    <row r="53" spans="63:67" x14ac:dyDescent="0.25">
      <c r="BK53" s="6">
        <f>'Age cont'!A263</f>
        <v>44</v>
      </c>
      <c r="BL53">
        <f>'Age cont'!B263</f>
        <v>0.65659999999999996</v>
      </c>
      <c r="BM53">
        <f>'Age cont'!D263</f>
        <v>0.1613</v>
      </c>
      <c r="BN53">
        <f>'Age cont'!F263</f>
        <v>0.16209999999999999</v>
      </c>
      <c r="BO53">
        <f>'Age cont'!H263</f>
        <v>0.02</v>
      </c>
    </row>
    <row r="54" spans="63:67" x14ac:dyDescent="0.25">
      <c r="BK54" s="6">
        <f>'Age cont'!A264</f>
        <v>45</v>
      </c>
      <c r="BL54">
        <f>'Age cont'!B264</f>
        <v>0.65639999999999998</v>
      </c>
      <c r="BM54">
        <f>'Age cont'!D264</f>
        <v>0.16120000000000001</v>
      </c>
      <c r="BN54">
        <f>'Age cont'!F264</f>
        <v>0.16220000000000001</v>
      </c>
      <c r="BO54">
        <f>'Age cont'!H264</f>
        <v>2.0199999999999999E-2</v>
      </c>
    </row>
    <row r="55" spans="63:67" x14ac:dyDescent="0.25">
      <c r="BK55" s="6">
        <f>'Age cont'!A265</f>
        <v>46</v>
      </c>
      <c r="BL55">
        <f>'Age cont'!B265</f>
        <v>0.65629999999999999</v>
      </c>
      <c r="BM55">
        <f>'Age cont'!D265</f>
        <v>0.161</v>
      </c>
      <c r="BN55">
        <f>'Age cont'!F265</f>
        <v>0.16220000000000001</v>
      </c>
      <c r="BO55">
        <f>'Age cont'!H265</f>
        <v>2.0400000000000001E-2</v>
      </c>
    </row>
    <row r="56" spans="63:67" x14ac:dyDescent="0.25">
      <c r="BK56" s="6">
        <f>'Age cont'!A266</f>
        <v>47</v>
      </c>
      <c r="BL56">
        <f>'Age cont'!B266</f>
        <v>0.65620000000000001</v>
      </c>
      <c r="BM56">
        <f>'Age cont'!D266</f>
        <v>0.16089999999999999</v>
      </c>
      <c r="BN56">
        <f>'Age cont'!F266</f>
        <v>0.1623</v>
      </c>
      <c r="BO56">
        <f>'Age cont'!H266</f>
        <v>2.06E-2</v>
      </c>
    </row>
    <row r="57" spans="63:67" x14ac:dyDescent="0.25">
      <c r="BK57" s="6">
        <f>'Age cont'!A267</f>
        <v>48</v>
      </c>
      <c r="BL57">
        <f>'Age cont'!B267</f>
        <v>0.65610000000000002</v>
      </c>
      <c r="BM57">
        <f>'Age cont'!D267</f>
        <v>0.16070000000000001</v>
      </c>
      <c r="BN57">
        <f>'Age cont'!F267</f>
        <v>0.1623</v>
      </c>
      <c r="BO57">
        <f>'Age cont'!H267</f>
        <v>2.0799999999999999E-2</v>
      </c>
    </row>
    <row r="58" spans="63:67" x14ac:dyDescent="0.25">
      <c r="BK58" s="6">
        <f>'Age cont'!A268</f>
        <v>49</v>
      </c>
      <c r="BL58">
        <f>'Age cont'!B268</f>
        <v>0.65600000000000003</v>
      </c>
      <c r="BM58">
        <f>'Age cont'!D268</f>
        <v>0.16059999999999999</v>
      </c>
      <c r="BN58">
        <f>'Age cont'!F268</f>
        <v>0.16239999999999999</v>
      </c>
      <c r="BO58">
        <f>'Age cont'!H268</f>
        <v>2.1100000000000001E-2</v>
      </c>
    </row>
    <row r="59" spans="63:67" x14ac:dyDescent="0.25">
      <c r="BK59" s="6">
        <f>'Age cont'!A269</f>
        <v>50</v>
      </c>
      <c r="BL59">
        <f>'Age cont'!B269</f>
        <v>0.65580000000000005</v>
      </c>
      <c r="BM59">
        <f>'Age cont'!D269</f>
        <v>0.16039999999999999</v>
      </c>
      <c r="BN59">
        <f>'Age cont'!F269</f>
        <v>0.16239999999999999</v>
      </c>
      <c r="BO59">
        <f>'Age cont'!H269</f>
        <v>2.1299999999999999E-2</v>
      </c>
    </row>
    <row r="60" spans="63:67" x14ac:dyDescent="0.25">
      <c r="BK60" s="6">
        <f>'Age cont'!A270</f>
        <v>51</v>
      </c>
      <c r="BL60">
        <f>'Age cont'!B270</f>
        <v>0.65569999999999995</v>
      </c>
      <c r="BM60">
        <f>'Age cont'!D270</f>
        <v>0.1603</v>
      </c>
      <c r="BN60">
        <f>'Age cont'!F270</f>
        <v>0.16250000000000001</v>
      </c>
      <c r="BO60">
        <f>'Age cont'!H270</f>
        <v>2.1499999999999998E-2</v>
      </c>
    </row>
    <row r="61" spans="63:67" x14ac:dyDescent="0.25">
      <c r="BK61" s="6">
        <f>'Age cont'!A271</f>
        <v>52</v>
      </c>
      <c r="BL61">
        <f>'Age cont'!B271</f>
        <v>0.65559999999999996</v>
      </c>
      <c r="BM61">
        <f>'Age cont'!D271</f>
        <v>0.16009999999999999</v>
      </c>
      <c r="BN61">
        <f>'Age cont'!F271</f>
        <v>0.16259999999999999</v>
      </c>
      <c r="BO61">
        <f>'Age cont'!H271</f>
        <v>2.1700000000000001E-2</v>
      </c>
    </row>
    <row r="62" spans="63:67" x14ac:dyDescent="0.25">
      <c r="BK62" s="6">
        <f>'Age cont'!A272</f>
        <v>53</v>
      </c>
      <c r="BL62">
        <f>'Age cont'!B272</f>
        <v>0.65549999999999997</v>
      </c>
      <c r="BM62">
        <f>'Age cont'!D272</f>
        <v>0.16</v>
      </c>
      <c r="BN62">
        <f>'Age cont'!F272</f>
        <v>0.16259999999999999</v>
      </c>
      <c r="BO62">
        <f>'Age cont'!H272</f>
        <v>2.1899999999999999E-2</v>
      </c>
    </row>
    <row r="63" spans="63:67" x14ac:dyDescent="0.25">
      <c r="BK63" s="6">
        <f>'Age cont'!A273</f>
        <v>54</v>
      </c>
      <c r="BL63">
        <f>'Age cont'!B273</f>
        <v>0.65529999999999999</v>
      </c>
      <c r="BM63">
        <f>'Age cont'!D273</f>
        <v>0.1598</v>
      </c>
      <c r="BN63">
        <f>'Age cont'!F273</f>
        <v>0.16270000000000001</v>
      </c>
      <c r="BO63">
        <f>'Age cont'!H273</f>
        <v>2.2200000000000001E-2</v>
      </c>
    </row>
    <row r="64" spans="63:67" x14ac:dyDescent="0.25">
      <c r="BK64" s="6">
        <f>'Age cont'!A274</f>
        <v>55</v>
      </c>
      <c r="BL64">
        <f>'Age cont'!B274</f>
        <v>0.6552</v>
      </c>
      <c r="BM64">
        <f>'Age cont'!D274</f>
        <v>0.15970000000000001</v>
      </c>
      <c r="BN64">
        <f>'Age cont'!F274</f>
        <v>0.16270000000000001</v>
      </c>
      <c r="BO64">
        <f>'Age cont'!H274</f>
        <v>2.24E-2</v>
      </c>
    </row>
    <row r="65" spans="63:67" x14ac:dyDescent="0.25">
      <c r="BK65" s="6">
        <f>'Age cont'!A275</f>
        <v>56</v>
      </c>
      <c r="BL65">
        <f>'Age cont'!B275</f>
        <v>0.65510000000000002</v>
      </c>
      <c r="BM65">
        <f>'Age cont'!D275</f>
        <v>0.1595</v>
      </c>
      <c r="BN65">
        <f>'Age cont'!F275</f>
        <v>0.1628</v>
      </c>
      <c r="BO65">
        <f>'Age cont'!H275</f>
        <v>2.2599999999999999E-2</v>
      </c>
    </row>
    <row r="66" spans="63:67" x14ac:dyDescent="0.25">
      <c r="BK66" s="6">
        <f>'Age cont'!A276</f>
        <v>57</v>
      </c>
      <c r="BL66">
        <f>'Age cont'!B276</f>
        <v>0.65490000000000004</v>
      </c>
      <c r="BM66">
        <f>'Age cont'!D276</f>
        <v>0.15939999999999999</v>
      </c>
      <c r="BN66">
        <f>'Age cont'!F276</f>
        <v>0.1628</v>
      </c>
      <c r="BO66">
        <f>'Age cont'!H276</f>
        <v>2.2800000000000001E-2</v>
      </c>
    </row>
    <row r="67" spans="63:67" x14ac:dyDescent="0.25">
      <c r="BK67" s="6">
        <f>'Age cont'!A277</f>
        <v>58</v>
      </c>
      <c r="BL67">
        <f>'Age cont'!B277</f>
        <v>0.65480000000000005</v>
      </c>
      <c r="BM67">
        <f>'Age cont'!D277</f>
        <v>0.15920000000000001</v>
      </c>
      <c r="BN67">
        <f>'Age cont'!F277</f>
        <v>0.16289999999999999</v>
      </c>
      <c r="BO67">
        <f>'Age cont'!H277</f>
        <v>2.3099999999999999E-2</v>
      </c>
    </row>
    <row r="68" spans="63:67" x14ac:dyDescent="0.25">
      <c r="BK68" s="6">
        <f>'Age cont'!A278</f>
        <v>59</v>
      </c>
      <c r="BL68">
        <f>'Age cont'!B278</f>
        <v>0.65469999999999995</v>
      </c>
      <c r="BM68">
        <f>'Age cont'!D278</f>
        <v>0.15909999999999999</v>
      </c>
      <c r="BN68">
        <f>'Age cont'!F278</f>
        <v>0.16289999999999999</v>
      </c>
      <c r="BO68">
        <f>'Age cont'!H278</f>
        <v>2.3300000000000001E-2</v>
      </c>
    </row>
    <row r="69" spans="63:67" x14ac:dyDescent="0.25">
      <c r="BK69" s="6">
        <f>'Age cont'!A279</f>
        <v>60</v>
      </c>
      <c r="BL69">
        <f>'Age cont'!B279</f>
        <v>0.65449999999999997</v>
      </c>
      <c r="BM69">
        <f>'Age cont'!D279</f>
        <v>0.15890000000000001</v>
      </c>
      <c r="BN69">
        <f>'Age cont'!F279</f>
        <v>0.16300000000000001</v>
      </c>
      <c r="BO69">
        <f>'Age cont'!H279</f>
        <v>2.3599999999999999E-2</v>
      </c>
    </row>
    <row r="70" spans="63:67" x14ac:dyDescent="0.25">
      <c r="BK70" s="6">
        <f>'Age cont'!A280</f>
        <v>61</v>
      </c>
      <c r="BL70">
        <f>'Age cont'!B280</f>
        <v>0.65439999999999998</v>
      </c>
      <c r="BM70">
        <f>'Age cont'!D280</f>
        <v>0.1588</v>
      </c>
      <c r="BN70">
        <f>'Age cont'!F280</f>
        <v>0.16309999999999999</v>
      </c>
      <c r="BO70">
        <f>'Age cont'!H280</f>
        <v>2.3800000000000002E-2</v>
      </c>
    </row>
    <row r="71" spans="63:67" x14ac:dyDescent="0.25">
      <c r="BK71" s="6">
        <f>'Age cont'!A281</f>
        <v>62</v>
      </c>
      <c r="BL71">
        <f>'Age cont'!B281</f>
        <v>0.6542</v>
      </c>
      <c r="BM71">
        <f>'Age cont'!D281</f>
        <v>0.15859999999999999</v>
      </c>
      <c r="BN71">
        <f>'Age cont'!F281</f>
        <v>0.16309999999999999</v>
      </c>
      <c r="BO71">
        <f>'Age cont'!H281</f>
        <v>2.4E-2</v>
      </c>
    </row>
    <row r="72" spans="63:67" x14ac:dyDescent="0.25">
      <c r="BK72" s="6">
        <f>'Age cont'!A282</f>
        <v>63</v>
      </c>
      <c r="BL72">
        <f>'Age cont'!B282</f>
        <v>0.65410000000000001</v>
      </c>
      <c r="BM72">
        <f>'Age cont'!D282</f>
        <v>0.1585</v>
      </c>
      <c r="BN72">
        <f>'Age cont'!F282</f>
        <v>0.16320000000000001</v>
      </c>
      <c r="BO72">
        <f>'Age cont'!H282</f>
        <v>2.4299999999999999E-2</v>
      </c>
    </row>
    <row r="73" spans="63:67" x14ac:dyDescent="0.25">
      <c r="BK73" s="6">
        <f>'Age cont'!A283</f>
        <v>64</v>
      </c>
      <c r="BL73">
        <f>'Age cont'!B283</f>
        <v>0.65390000000000004</v>
      </c>
      <c r="BM73">
        <f>'Age cont'!D283</f>
        <v>0.1583</v>
      </c>
      <c r="BN73">
        <f>'Age cont'!F283</f>
        <v>0.16320000000000001</v>
      </c>
      <c r="BO73">
        <f>'Age cont'!H283</f>
        <v>2.4500000000000001E-2</v>
      </c>
    </row>
    <row r="74" spans="63:67" x14ac:dyDescent="0.25">
      <c r="BK74" s="6">
        <f>'Age cont'!A284</f>
        <v>65</v>
      </c>
      <c r="BL74">
        <f>'Age cont'!B284</f>
        <v>0.65380000000000005</v>
      </c>
      <c r="BM74">
        <f>'Age cont'!D284</f>
        <v>0.15820000000000001</v>
      </c>
      <c r="BN74">
        <f>'Age cont'!F284</f>
        <v>0.1633</v>
      </c>
      <c r="BO74">
        <f>'Age cont'!H284</f>
        <v>2.4799999999999999E-2</v>
      </c>
    </row>
    <row r="75" spans="63:67" x14ac:dyDescent="0.25">
      <c r="BK75" s="6">
        <f>'Age cont'!A285</f>
        <v>66</v>
      </c>
      <c r="BL75">
        <f>'Age cont'!B285</f>
        <v>0.65369999999999995</v>
      </c>
      <c r="BM75">
        <f>'Age cont'!D285</f>
        <v>0.158</v>
      </c>
      <c r="BN75">
        <f>'Age cont'!F285</f>
        <v>0.1633</v>
      </c>
      <c r="BO75">
        <f>'Age cont'!H285</f>
        <v>2.5000000000000001E-2</v>
      </c>
    </row>
    <row r="76" spans="63:67" x14ac:dyDescent="0.25">
      <c r="BK76" s="6">
        <f>'Age cont'!A286</f>
        <v>67</v>
      </c>
      <c r="BL76">
        <f>'Age cont'!B286</f>
        <v>0.65349999999999997</v>
      </c>
      <c r="BM76">
        <f>'Age cont'!D286</f>
        <v>0.1578</v>
      </c>
      <c r="BN76">
        <f>'Age cont'!F286</f>
        <v>0.16339999999999999</v>
      </c>
      <c r="BO76">
        <f>'Age cont'!H286</f>
        <v>2.53E-2</v>
      </c>
    </row>
    <row r="77" spans="63:67" x14ac:dyDescent="0.25">
      <c r="BK77" s="6">
        <f>'Age cont'!A287</f>
        <v>68</v>
      </c>
      <c r="BL77">
        <f>'Age cont'!B287</f>
        <v>0.65329999999999999</v>
      </c>
      <c r="BM77">
        <f>'Age cont'!D287</f>
        <v>0.15770000000000001</v>
      </c>
      <c r="BN77">
        <f>'Age cont'!F287</f>
        <v>0.16339999999999999</v>
      </c>
      <c r="BO77">
        <f>'Age cont'!H287</f>
        <v>2.5600000000000001E-2</v>
      </c>
    </row>
    <row r="78" spans="63:67" x14ac:dyDescent="0.25">
      <c r="BK78" s="6">
        <f>'Age cont'!A288</f>
        <v>69</v>
      </c>
      <c r="BL78">
        <f>'Age cont'!B288</f>
        <v>0.6532</v>
      </c>
      <c r="BM78">
        <f>'Age cont'!D288</f>
        <v>0.1575</v>
      </c>
      <c r="BN78">
        <f>'Age cont'!F288</f>
        <v>0.16350000000000001</v>
      </c>
      <c r="BO78">
        <f>'Age cont'!H288</f>
        <v>2.58E-2</v>
      </c>
    </row>
    <row r="79" spans="63:67" x14ac:dyDescent="0.25">
      <c r="BK79" s="6">
        <f>'Age cont'!A289</f>
        <v>70</v>
      </c>
      <c r="BL79">
        <f>'Age cont'!B289</f>
        <v>0.65300000000000002</v>
      </c>
      <c r="BM79">
        <f>'Age cont'!D289</f>
        <v>0.15740000000000001</v>
      </c>
      <c r="BN79">
        <f>'Age cont'!F289</f>
        <v>0.16350000000000001</v>
      </c>
      <c r="BO79">
        <f>'Age cont'!H289</f>
        <v>2.6100000000000002E-2</v>
      </c>
    </row>
    <row r="80" spans="63:67" x14ac:dyDescent="0.25">
      <c r="BK80" s="6">
        <f>'Age cont'!A290</f>
        <v>71</v>
      </c>
      <c r="BL80">
        <f>'Age cont'!B290</f>
        <v>0.65290000000000004</v>
      </c>
      <c r="BM80">
        <f>'Age cont'!D290</f>
        <v>0.15720000000000001</v>
      </c>
      <c r="BN80">
        <f>'Age cont'!F290</f>
        <v>0.1636</v>
      </c>
      <c r="BO80">
        <f>'Age cont'!H290</f>
        <v>2.63E-2</v>
      </c>
    </row>
    <row r="81" spans="63:67" x14ac:dyDescent="0.25">
      <c r="BK81" s="6">
        <f>'Age cont'!A291</f>
        <v>72</v>
      </c>
      <c r="BL81">
        <f>'Age cont'!B291</f>
        <v>0.65269999999999995</v>
      </c>
      <c r="BM81">
        <f>'Age cont'!D291</f>
        <v>0.15709999999999999</v>
      </c>
      <c r="BN81">
        <f>'Age cont'!F291</f>
        <v>0.1636</v>
      </c>
      <c r="BO81">
        <f>'Age cont'!H291</f>
        <v>2.6599999999999999E-2</v>
      </c>
    </row>
    <row r="82" spans="63:67" x14ac:dyDescent="0.25">
      <c r="BK82" s="6">
        <f>'Age cont'!A292</f>
        <v>73</v>
      </c>
      <c r="BL82">
        <f>'Age cont'!B292</f>
        <v>0.65259999999999996</v>
      </c>
      <c r="BM82">
        <f>'Age cont'!D292</f>
        <v>0.15690000000000001</v>
      </c>
      <c r="BN82">
        <f>'Age cont'!F292</f>
        <v>0.16370000000000001</v>
      </c>
      <c r="BO82">
        <f>'Age cont'!H292</f>
        <v>2.69E-2</v>
      </c>
    </row>
    <row r="83" spans="63:67" x14ac:dyDescent="0.25">
      <c r="BK83" s="6">
        <f>'Age cont'!A293</f>
        <v>74</v>
      </c>
      <c r="BL83">
        <f>'Age cont'!B293</f>
        <v>0.65239999999999998</v>
      </c>
      <c r="BM83">
        <f>'Age cont'!D293</f>
        <v>0.15670000000000001</v>
      </c>
      <c r="BN83">
        <f>'Age cont'!F293</f>
        <v>0.16370000000000001</v>
      </c>
      <c r="BO83">
        <f>'Age cont'!H293</f>
        <v>2.7199999999999998E-2</v>
      </c>
    </row>
    <row r="84" spans="63:67" x14ac:dyDescent="0.25">
      <c r="BK84" s="6">
        <f>'Age cont'!A294</f>
        <v>75</v>
      </c>
      <c r="BL84">
        <f>'Age cont'!B294</f>
        <v>0.6522</v>
      </c>
      <c r="BM84">
        <f>'Age cont'!D294</f>
        <v>0.15659999999999999</v>
      </c>
      <c r="BN84">
        <f>'Age cont'!F294</f>
        <v>0.16370000000000001</v>
      </c>
      <c r="BO84">
        <f>'Age cont'!H294</f>
        <v>2.7400000000000001E-2</v>
      </c>
    </row>
    <row r="85" spans="63:67" x14ac:dyDescent="0.25">
      <c r="BK85" s="6">
        <f>'Age cont'!A295</f>
        <v>76</v>
      </c>
      <c r="BL85">
        <f>'Age cont'!B295</f>
        <v>0.65210000000000001</v>
      </c>
      <c r="BM85">
        <f>'Age cont'!D295</f>
        <v>0.15640000000000001</v>
      </c>
      <c r="BN85">
        <f>'Age cont'!F295</f>
        <v>0.1638</v>
      </c>
      <c r="BO85">
        <f>'Age cont'!H295</f>
        <v>2.7699999999999999E-2</v>
      </c>
    </row>
    <row r="86" spans="63:67" x14ac:dyDescent="0.25">
      <c r="BK86" s="6">
        <f>'Age cont'!A296</f>
        <v>77</v>
      </c>
      <c r="BL86">
        <f>'Age cont'!B296</f>
        <v>0.65190000000000003</v>
      </c>
      <c r="BM86">
        <f>'Age cont'!D296</f>
        <v>0.15629999999999999</v>
      </c>
      <c r="BN86">
        <f>'Age cont'!F296</f>
        <v>0.1638</v>
      </c>
      <c r="BO86">
        <f>'Age cont'!H296</f>
        <v>2.8000000000000001E-2</v>
      </c>
    </row>
    <row r="87" spans="63:67" x14ac:dyDescent="0.25">
      <c r="BK87" s="6">
        <f>'Age cont'!A297</f>
        <v>78</v>
      </c>
      <c r="BL87">
        <f>'Age cont'!B297</f>
        <v>0.65169999999999995</v>
      </c>
      <c r="BM87">
        <f>'Age cont'!D297</f>
        <v>0.15609999999999999</v>
      </c>
      <c r="BN87">
        <f>'Age cont'!F297</f>
        <v>0.16389999999999999</v>
      </c>
      <c r="BO87">
        <f>'Age cont'!H297</f>
        <v>2.8299999999999999E-2</v>
      </c>
    </row>
    <row r="88" spans="63:67" x14ac:dyDescent="0.25">
      <c r="BK88" s="6">
        <f>'Age cont'!A298</f>
        <v>79</v>
      </c>
      <c r="BL88">
        <f>'Age cont'!B298</f>
        <v>0.65149999999999997</v>
      </c>
      <c r="BM88">
        <f>'Age cont'!D298</f>
        <v>0.156</v>
      </c>
      <c r="BN88">
        <f>'Age cont'!F298</f>
        <v>0.16389999999999999</v>
      </c>
      <c r="BO88">
        <f>'Age cont'!H298</f>
        <v>2.86E-2</v>
      </c>
    </row>
    <row r="89" spans="63:67" x14ac:dyDescent="0.25">
      <c r="BK89" s="6">
        <f>'Age cont'!A299</f>
        <v>80</v>
      </c>
      <c r="BL89">
        <f>'Age cont'!B299</f>
        <v>0.65139999999999998</v>
      </c>
      <c r="BM89">
        <f>'Age cont'!D299</f>
        <v>0.15579999999999999</v>
      </c>
      <c r="BN89">
        <f>'Age cont'!F299</f>
        <v>0.16400000000000001</v>
      </c>
      <c r="BO89">
        <f>'Age cont'!H299</f>
        <v>2.8899999999999999E-2</v>
      </c>
    </row>
    <row r="90" spans="63:67" x14ac:dyDescent="0.25">
      <c r="BK90" s="6">
        <f>'Age cont'!A300</f>
        <v>81</v>
      </c>
      <c r="BL90">
        <f>'Age cont'!B300</f>
        <v>0.6512</v>
      </c>
      <c r="BM90">
        <f>'Age cont'!D300</f>
        <v>0.15559999999999999</v>
      </c>
      <c r="BN90">
        <f>'Age cont'!F300</f>
        <v>0.16400000000000001</v>
      </c>
      <c r="BO90">
        <f>'Age cont'!H300</f>
        <v>2.92E-2</v>
      </c>
    </row>
    <row r="91" spans="63:67" x14ac:dyDescent="0.25">
      <c r="BK91" s="6">
        <f>'Age cont'!A301</f>
        <v>82</v>
      </c>
      <c r="BL91">
        <f>'Age cont'!B301</f>
        <v>0.65100000000000002</v>
      </c>
      <c r="BM91">
        <f>'Age cont'!D301</f>
        <v>0.1555</v>
      </c>
      <c r="BN91">
        <f>'Age cont'!F301</f>
        <v>0.1641</v>
      </c>
      <c r="BO91">
        <f>'Age cont'!H301</f>
        <v>2.9499999999999998E-2</v>
      </c>
    </row>
    <row r="92" spans="63:67" x14ac:dyDescent="0.25">
      <c r="BK92" s="6">
        <f>'Age cont'!A302</f>
        <v>83</v>
      </c>
      <c r="BL92">
        <f>'Age cont'!B302</f>
        <v>0.65080000000000005</v>
      </c>
      <c r="BM92">
        <f>'Age cont'!D302</f>
        <v>0.15529999999999999</v>
      </c>
      <c r="BN92">
        <f>'Age cont'!F302</f>
        <v>0.1641</v>
      </c>
      <c r="BO92">
        <f>'Age cont'!H302</f>
        <v>2.98E-2</v>
      </c>
    </row>
    <row r="93" spans="63:67" x14ac:dyDescent="0.25">
      <c r="BK93" s="6">
        <f>'Age cont'!A303</f>
        <v>84</v>
      </c>
      <c r="BL93">
        <f>'Age cont'!B303</f>
        <v>0.65059999999999996</v>
      </c>
      <c r="BM93">
        <f>'Age cont'!D303</f>
        <v>0.1552</v>
      </c>
      <c r="BN93">
        <f>'Age cont'!F303</f>
        <v>0.1641</v>
      </c>
      <c r="BO93">
        <f>'Age cont'!H303</f>
        <v>3.0099999999999998E-2</v>
      </c>
    </row>
    <row r="94" spans="63:67" x14ac:dyDescent="0.25">
      <c r="BK94" s="6">
        <f>'Age cont'!A304</f>
        <v>85</v>
      </c>
      <c r="BL94">
        <f>'Age cont'!B304</f>
        <v>0.65049999999999997</v>
      </c>
      <c r="BM94">
        <f>'Age cont'!D304</f>
        <v>0.155</v>
      </c>
      <c r="BN94">
        <f>'Age cont'!F304</f>
        <v>0.16420000000000001</v>
      </c>
      <c r="BO94">
        <f>'Age cont'!H304</f>
        <v>3.04E-2</v>
      </c>
    </row>
    <row r="95" spans="63:67" x14ac:dyDescent="0.25">
      <c r="BK95" s="6">
        <f>'Age cont'!A305</f>
        <v>86</v>
      </c>
      <c r="BL95">
        <f>'Age cont'!B305</f>
        <v>0.65029999999999999</v>
      </c>
      <c r="BM95">
        <f>'Age cont'!D305</f>
        <v>0.15479999999999999</v>
      </c>
      <c r="BN95">
        <f>'Age cont'!F305</f>
        <v>0.16420000000000001</v>
      </c>
      <c r="BO95">
        <f>'Age cont'!H305</f>
        <v>3.0700000000000002E-2</v>
      </c>
    </row>
    <row r="96" spans="63:67" x14ac:dyDescent="0.25">
      <c r="BK96" s="6">
        <f>'Age cont'!A306</f>
        <v>87</v>
      </c>
      <c r="BL96">
        <f>'Age cont'!B306</f>
        <v>0.65010000000000001</v>
      </c>
      <c r="BM96">
        <f>'Age cont'!D306</f>
        <v>0.1547</v>
      </c>
      <c r="BN96">
        <f>'Age cont'!F306</f>
        <v>0.1643</v>
      </c>
      <c r="BO96">
        <f>'Age cont'!H306</f>
        <v>3.1E-2</v>
      </c>
    </row>
    <row r="97" spans="63:67" x14ac:dyDescent="0.25">
      <c r="BK97" s="6">
        <f>'Age cont'!A307</f>
        <v>88</v>
      </c>
      <c r="BL97">
        <f>'Age cont'!B307</f>
        <v>0.64990000000000003</v>
      </c>
      <c r="BM97">
        <f>'Age cont'!D307</f>
        <v>0.1545</v>
      </c>
      <c r="BN97">
        <f>'Age cont'!F307</f>
        <v>0.1643</v>
      </c>
      <c r="BO97">
        <f>'Age cont'!H307</f>
        <v>3.1300000000000001E-2</v>
      </c>
    </row>
    <row r="98" spans="63:67" x14ac:dyDescent="0.25">
      <c r="BK98" s="6">
        <f>'Age cont'!A308</f>
        <v>89</v>
      </c>
      <c r="BL98">
        <f>'Age cont'!B308</f>
        <v>0.64970000000000006</v>
      </c>
      <c r="BM98">
        <f>'Age cont'!D308</f>
        <v>0.15440000000000001</v>
      </c>
      <c r="BN98">
        <f>'Age cont'!F308</f>
        <v>0.16439999999999999</v>
      </c>
      <c r="BO98">
        <f>'Age cont'!H308</f>
        <v>3.1600000000000003E-2</v>
      </c>
    </row>
    <row r="99" spans="63:67" x14ac:dyDescent="0.25">
      <c r="BK99" s="6">
        <f>'Age cont'!A309</f>
        <v>90</v>
      </c>
      <c r="BL99">
        <f>'Age cont'!B309</f>
        <v>0.64949999999999997</v>
      </c>
      <c r="BM99">
        <f>'Age cont'!D309</f>
        <v>0.1542</v>
      </c>
      <c r="BN99">
        <f>'Age cont'!F309</f>
        <v>0.16439999999999999</v>
      </c>
      <c r="BO99">
        <f>'Age cont'!H309</f>
        <v>3.1899999999999998E-2</v>
      </c>
    </row>
    <row r="100" spans="63:67" x14ac:dyDescent="0.25">
      <c r="BK100" s="6">
        <f>'Age cont'!A310</f>
        <v>92</v>
      </c>
      <c r="BL100">
        <f>'Age cont'!B310</f>
        <v>0.64910000000000001</v>
      </c>
      <c r="BM100">
        <f>'Age cont'!D310</f>
        <v>0.15390000000000001</v>
      </c>
      <c r="BN100">
        <f>'Age cont'!F310</f>
        <v>0.16450000000000001</v>
      </c>
      <c r="BO100">
        <f>'Age cont'!H310</f>
        <v>3.2599999999999997E-2</v>
      </c>
    </row>
    <row r="101" spans="63:67" x14ac:dyDescent="0.25">
      <c r="BK101" s="6">
        <f>'Age cont'!A311</f>
        <v>93</v>
      </c>
      <c r="BL101">
        <f>'Age cont'!B311</f>
        <v>0.64890000000000003</v>
      </c>
      <c r="BM101">
        <f>'Age cont'!D311</f>
        <v>0.1537</v>
      </c>
      <c r="BN101">
        <f>'Age cont'!F311</f>
        <v>0.16450000000000001</v>
      </c>
      <c r="BO101">
        <f>'Age cont'!H311</f>
        <v>3.2899999999999999E-2</v>
      </c>
    </row>
    <row r="102" spans="63:67" x14ac:dyDescent="0.25">
      <c r="BK102" s="6">
        <f>'Age cont'!A312</f>
        <v>95</v>
      </c>
      <c r="BL102">
        <f>'Age cont'!B312</f>
        <v>0.64849999999999997</v>
      </c>
      <c r="BM102">
        <f>'Age cont'!D312</f>
        <v>0.15340000000000001</v>
      </c>
      <c r="BN102">
        <f>'Age cont'!F312</f>
        <v>0.1646</v>
      </c>
      <c r="BO102">
        <f>'Age cont'!H312</f>
        <v>3.3599999999999998E-2</v>
      </c>
    </row>
    <row r="103" spans="63:67" x14ac:dyDescent="0.25">
      <c r="BK103" s="6">
        <f>'Age cont'!A313</f>
        <v>97</v>
      </c>
      <c r="BL103">
        <f>'Age cont'!B313</f>
        <v>0.64800000000000002</v>
      </c>
      <c r="BM103">
        <f>'Age cont'!D313</f>
        <v>0.153</v>
      </c>
      <c r="BN103">
        <f>'Age cont'!F313</f>
        <v>0.1646</v>
      </c>
      <c r="BO103">
        <f>'Age cont'!H313</f>
        <v>3.4299999999999997E-2</v>
      </c>
    </row>
    <row r="104" spans="63:67" x14ac:dyDescent="0.25">
      <c r="BK104" s="6">
        <f>'Age cont'!A314</f>
        <v>99</v>
      </c>
      <c r="BL104">
        <f>'Age cont'!B314</f>
        <v>0.64759999999999995</v>
      </c>
      <c r="BM104">
        <f>'Age cont'!D314</f>
        <v>0.1527</v>
      </c>
      <c r="BN104">
        <f>'Age cont'!F314</f>
        <v>0.16470000000000001</v>
      </c>
      <c r="BO104">
        <f>'Age cont'!H314</f>
        <v>3.5000000000000003E-2</v>
      </c>
    </row>
    <row r="105" spans="63:67" x14ac:dyDescent="0.25">
      <c r="BK105" s="6">
        <f>'Age cont'!A315</f>
        <v>100</v>
      </c>
      <c r="BL105">
        <f>'Age cont'!B315</f>
        <v>0.64739999999999998</v>
      </c>
      <c r="BM105">
        <f>'Age cont'!D315</f>
        <v>0.1525</v>
      </c>
      <c r="BN105">
        <f>'Age cont'!F315</f>
        <v>0.16470000000000001</v>
      </c>
      <c r="BO105">
        <f>'Age cont'!H315</f>
        <v>3.5299999999999998E-2</v>
      </c>
    </row>
    <row r="106" spans="63:67" x14ac:dyDescent="0.25">
      <c r="BK106" s="6">
        <f>'Age cont'!A316</f>
        <v>102</v>
      </c>
      <c r="BL106">
        <f>'Age cont'!B316</f>
        <v>0.64690000000000003</v>
      </c>
      <c r="BM106">
        <f>'Age cont'!D316</f>
        <v>0.1522</v>
      </c>
      <c r="BN106">
        <f>'Age cont'!F316</f>
        <v>0.1648</v>
      </c>
      <c r="BO106">
        <f>'Age cont'!H316</f>
        <v>3.5999999999999997E-2</v>
      </c>
    </row>
    <row r="107" spans="63:67" x14ac:dyDescent="0.25">
      <c r="BK107" s="6">
        <f>'Age cont'!A317</f>
        <v>103</v>
      </c>
      <c r="BL107">
        <f>'Age cont'!B317</f>
        <v>0.64670000000000005</v>
      </c>
      <c r="BM107">
        <f>'Age cont'!D317</f>
        <v>0.152</v>
      </c>
      <c r="BN107">
        <f>'Age cont'!F317</f>
        <v>0.1648</v>
      </c>
      <c r="BO107">
        <f>'Age cont'!H317</f>
        <v>3.6400000000000002E-2</v>
      </c>
    </row>
    <row r="108" spans="63:67" x14ac:dyDescent="0.25">
      <c r="BK108" s="6">
        <f>'Age cont'!A318</f>
        <v>104</v>
      </c>
      <c r="BL108">
        <f>'Age cont'!B318</f>
        <v>0.64649999999999996</v>
      </c>
      <c r="BM108">
        <f>'Age cont'!D318</f>
        <v>0.15190000000000001</v>
      </c>
      <c r="BN108">
        <f>'Age cont'!F318</f>
        <v>0.16489999999999999</v>
      </c>
      <c r="BO108">
        <f>'Age cont'!H318</f>
        <v>3.6799999999999999E-2</v>
      </c>
    </row>
    <row r="109" spans="63:67" x14ac:dyDescent="0.25">
      <c r="BK109" s="6">
        <f>'Age cont'!A319</f>
        <v>105</v>
      </c>
      <c r="BL109">
        <f>'Age cont'!B319</f>
        <v>0.64629999999999999</v>
      </c>
      <c r="BM109">
        <f>'Age cont'!D319</f>
        <v>0.1517</v>
      </c>
      <c r="BN109">
        <f>'Age cont'!F319</f>
        <v>0.16489999999999999</v>
      </c>
      <c r="BO109">
        <f>'Age cont'!H319</f>
        <v>3.7100000000000001E-2</v>
      </c>
    </row>
    <row r="110" spans="63:67" x14ac:dyDescent="0.25">
      <c r="BK110" s="6">
        <f>'Age cont'!A320</f>
        <v>106</v>
      </c>
      <c r="BL110">
        <f>'Age cont'!B320</f>
        <v>0.64600000000000002</v>
      </c>
      <c r="BM110">
        <f>'Age cont'!D320</f>
        <v>0.1515</v>
      </c>
      <c r="BN110">
        <f>'Age cont'!F320</f>
        <v>0.16489999999999999</v>
      </c>
      <c r="BO110">
        <f>'Age cont'!H320</f>
        <v>3.7499999999999999E-2</v>
      </c>
    </row>
    <row r="111" spans="63:67" x14ac:dyDescent="0.25">
      <c r="BK111" s="6">
        <f>'Age cont'!A321</f>
        <v>107</v>
      </c>
      <c r="BL111">
        <f>'Age cont'!B321</f>
        <v>0.64580000000000004</v>
      </c>
      <c r="BM111">
        <f>'Age cont'!D321</f>
        <v>0.15140000000000001</v>
      </c>
      <c r="BN111">
        <f>'Age cont'!F321</f>
        <v>0.16500000000000001</v>
      </c>
      <c r="BO111">
        <f>'Age cont'!H321</f>
        <v>3.7900000000000003E-2</v>
      </c>
    </row>
    <row r="112" spans="63:67" x14ac:dyDescent="0.25">
      <c r="BK112" s="6">
        <f>'Age cont'!A322</f>
        <v>109</v>
      </c>
      <c r="BL112">
        <f>'Age cont'!B322</f>
        <v>0.64529999999999998</v>
      </c>
      <c r="BM112">
        <f>'Age cont'!D322</f>
        <v>0.151</v>
      </c>
      <c r="BN112">
        <f>'Age cont'!F322</f>
        <v>0.16500000000000001</v>
      </c>
      <c r="BO112">
        <f>'Age cont'!H322</f>
        <v>3.8699999999999998E-2</v>
      </c>
    </row>
    <row r="113" spans="63:67" x14ac:dyDescent="0.25">
      <c r="BK113" s="6">
        <f>'Age cont'!A323</f>
        <v>110</v>
      </c>
      <c r="BL113">
        <f>'Age cont'!B323</f>
        <v>0.64510000000000001</v>
      </c>
      <c r="BM113">
        <f>'Age cont'!D323</f>
        <v>0.15090000000000001</v>
      </c>
      <c r="BN113">
        <f>'Age cont'!F323</f>
        <v>0.16500000000000001</v>
      </c>
      <c r="BO113">
        <f>'Age cont'!H323</f>
        <v>3.9100000000000003E-2</v>
      </c>
    </row>
    <row r="114" spans="63:67" x14ac:dyDescent="0.25">
      <c r="BK114" s="6">
        <f>'Age cont'!A324</f>
        <v>111</v>
      </c>
      <c r="BL114">
        <f>'Age cont'!B324</f>
        <v>0.64480000000000004</v>
      </c>
      <c r="BM114">
        <f>'Age cont'!D324</f>
        <v>0.1507</v>
      </c>
      <c r="BN114">
        <f>'Age cont'!F324</f>
        <v>0.1651</v>
      </c>
      <c r="BO114">
        <f>'Age cont'!H324</f>
        <v>3.9399999999999998E-2</v>
      </c>
    </row>
    <row r="115" spans="63:67" x14ac:dyDescent="0.25">
      <c r="BK115" s="6">
        <f>'Age cont'!A325</f>
        <v>112</v>
      </c>
      <c r="BL115">
        <f>'Age cont'!B325</f>
        <v>0.64459999999999995</v>
      </c>
      <c r="BM115">
        <f>'Age cont'!D325</f>
        <v>0.15049999999999999</v>
      </c>
      <c r="BN115">
        <f>'Age cont'!F325</f>
        <v>0.1651</v>
      </c>
      <c r="BO115">
        <f>'Age cont'!H325</f>
        <v>3.9800000000000002E-2</v>
      </c>
    </row>
    <row r="116" spans="63:67" x14ac:dyDescent="0.25">
      <c r="BK116" s="6">
        <f>'Age cont'!A326</f>
        <v>115</v>
      </c>
      <c r="BL116">
        <f>'Age cont'!B326</f>
        <v>0.64380000000000004</v>
      </c>
      <c r="BM116">
        <f>'Age cont'!D326</f>
        <v>0.15</v>
      </c>
      <c r="BN116">
        <f>'Age cont'!F326</f>
        <v>0.16520000000000001</v>
      </c>
      <c r="BO116">
        <f>'Age cont'!H326</f>
        <v>4.1099999999999998E-2</v>
      </c>
    </row>
    <row r="117" spans="63:67" x14ac:dyDescent="0.25">
      <c r="BK117" s="6">
        <f>'Age cont'!A327</f>
        <v>116</v>
      </c>
      <c r="BL117">
        <f>'Age cont'!B327</f>
        <v>0.64349999999999996</v>
      </c>
      <c r="BM117">
        <f>'Age cont'!D327</f>
        <v>0.14979999999999999</v>
      </c>
      <c r="BN117">
        <f>'Age cont'!F327</f>
        <v>0.16520000000000001</v>
      </c>
      <c r="BO117">
        <f>'Age cont'!H327</f>
        <v>4.1500000000000002E-2</v>
      </c>
    </row>
    <row r="118" spans="63:67" x14ac:dyDescent="0.25">
      <c r="BK118" s="6">
        <f>'Age cont'!A328</f>
        <v>117</v>
      </c>
      <c r="BL118">
        <f>'Age cont'!B328</f>
        <v>0.64329999999999998</v>
      </c>
      <c r="BM118">
        <f>'Age cont'!D328</f>
        <v>0.14960000000000001</v>
      </c>
      <c r="BN118">
        <f>'Age cont'!F328</f>
        <v>0.16520000000000001</v>
      </c>
      <c r="BO118">
        <f>'Age cont'!H328</f>
        <v>4.19E-2</v>
      </c>
    </row>
    <row r="119" spans="63:67" x14ac:dyDescent="0.25">
      <c r="BK119" s="6">
        <f>'Age cont'!A329</f>
        <v>127</v>
      </c>
      <c r="BL119">
        <f>'Age cont'!B329</f>
        <v>0.64049999999999996</v>
      </c>
      <c r="BM119">
        <f>'Age cont'!D329</f>
        <v>0.1479</v>
      </c>
      <c r="BN119">
        <f>'Age cont'!F329</f>
        <v>0.16539999999999999</v>
      </c>
      <c r="BO119">
        <f>'Age cont'!H329</f>
        <v>4.6300000000000001E-2</v>
      </c>
    </row>
    <row r="120" spans="63:67" x14ac:dyDescent="0.25">
      <c r="BK120" s="6">
        <f>'Age cont'!A330</f>
        <v>128</v>
      </c>
      <c r="BL120">
        <f>'Age cont'!B330</f>
        <v>0.64019999999999999</v>
      </c>
      <c r="BM120">
        <f>'Age cont'!D330</f>
        <v>0.1477</v>
      </c>
      <c r="BN120">
        <f>'Age cont'!F330</f>
        <v>0.16539999999999999</v>
      </c>
      <c r="BO120">
        <f>'Age cont'!H330</f>
        <v>4.6699999999999998E-2</v>
      </c>
    </row>
    <row r="121" spans="63:67" x14ac:dyDescent="0.25">
      <c r="BK121" s="6">
        <f>'Age cont'!A331</f>
        <v>129</v>
      </c>
      <c r="BL121">
        <f>'Age cont'!B331</f>
        <v>0.63990000000000002</v>
      </c>
      <c r="BM121">
        <f>'Age cont'!D331</f>
        <v>0.14749999999999999</v>
      </c>
      <c r="BN121">
        <f>'Age cont'!F331</f>
        <v>0.16539999999999999</v>
      </c>
      <c r="BO121">
        <f>'Age cont'!H331</f>
        <v>4.7199999999999999E-2</v>
      </c>
    </row>
    <row r="122" spans="63:67" x14ac:dyDescent="0.25">
      <c r="BK122" s="6">
        <f>'Age cont'!A332</f>
        <v>131</v>
      </c>
      <c r="BL122">
        <f>'Age cont'!B332</f>
        <v>0.63929999999999998</v>
      </c>
      <c r="BM122">
        <f>'Age cont'!D332</f>
        <v>0.1472</v>
      </c>
      <c r="BN122">
        <f>'Age cont'!F332</f>
        <v>0.16539999999999999</v>
      </c>
      <c r="BO122">
        <f>'Age cont'!H332</f>
        <v>4.8099999999999997E-2</v>
      </c>
    </row>
    <row r="123" spans="63:67" x14ac:dyDescent="0.25">
      <c r="BK123" s="6">
        <f>'Age cont'!A333</f>
        <v>133</v>
      </c>
      <c r="BL123">
        <f>'Age cont'!B333</f>
        <v>0.63859999999999995</v>
      </c>
      <c r="BM123">
        <f>'Age cont'!D333</f>
        <v>0.14680000000000001</v>
      </c>
      <c r="BN123">
        <f>'Age cont'!F333</f>
        <v>0.16539999999999999</v>
      </c>
      <c r="BO123">
        <f>'Age cont'!H333</f>
        <v>4.9099999999999998E-2</v>
      </c>
    </row>
    <row r="124" spans="63:67" x14ac:dyDescent="0.25">
      <c r="BK124" s="6">
        <f>'Age cont'!A334</f>
        <v>135</v>
      </c>
      <c r="BL124">
        <f>'Age cont'!B334</f>
        <v>0.63800000000000001</v>
      </c>
      <c r="BM124">
        <f>'Age cont'!D334</f>
        <v>0.1464</v>
      </c>
      <c r="BN124">
        <f>'Age cont'!F334</f>
        <v>0.16550000000000001</v>
      </c>
      <c r="BO124">
        <f>'Age cont'!H334</f>
        <v>5.0099999999999999E-2</v>
      </c>
    </row>
    <row r="125" spans="63:67" x14ac:dyDescent="0.25">
      <c r="BK125" s="6">
        <f>'Age cont'!A335</f>
        <v>150</v>
      </c>
      <c r="BL125">
        <f>'Age cont'!B335</f>
        <v>0.63280000000000003</v>
      </c>
      <c r="BM125">
        <f>'Age cont'!D335</f>
        <v>0.14360000000000001</v>
      </c>
      <c r="BN125">
        <f>'Age cont'!F335</f>
        <v>0.16550000000000001</v>
      </c>
      <c r="BO125">
        <f>'Age cont'!H335</f>
        <v>5.8099999999999999E-2</v>
      </c>
    </row>
    <row r="126" spans="63:67" x14ac:dyDescent="0.25">
      <c r="BK126" s="6">
        <f>'Age cont'!A336</f>
        <v>152</v>
      </c>
      <c r="BL126">
        <f>'Age cont'!B336</f>
        <v>0.6321</v>
      </c>
      <c r="BM126">
        <f>'Age cont'!D336</f>
        <v>0.14319999999999999</v>
      </c>
      <c r="BN126">
        <f>'Age cont'!F336</f>
        <v>0.16539999999999999</v>
      </c>
      <c r="BO126">
        <f>'Age cont'!H336</f>
        <v>5.9200000000000003E-2</v>
      </c>
    </row>
    <row r="127" spans="63:67" x14ac:dyDescent="0.25">
      <c r="BK127" s="6">
        <f>'Age cont'!A337</f>
        <v>174</v>
      </c>
      <c r="BL127">
        <f>'Age cont'!B337</f>
        <v>0.62280000000000002</v>
      </c>
      <c r="BM127">
        <f>'Age cont'!D337</f>
        <v>0.13880000000000001</v>
      </c>
      <c r="BN127">
        <f>'Age cont'!F337</f>
        <v>0.16500000000000001</v>
      </c>
      <c r="BO127">
        <f>'Age cont'!H337</f>
        <v>7.3400000000000007E-2</v>
      </c>
    </row>
    <row r="128" spans="63:67" x14ac:dyDescent="0.25">
      <c r="BK128" s="6">
        <f>'Age cont'!A338</f>
        <v>180</v>
      </c>
      <c r="BL128">
        <f>'Age cont'!B338</f>
        <v>0.62</v>
      </c>
      <c r="BM128">
        <f>'Age cont'!D338</f>
        <v>0.1376</v>
      </c>
      <c r="BN128">
        <f>'Age cont'!F338</f>
        <v>0.16470000000000001</v>
      </c>
      <c r="BO128">
        <f>'Age cont'!H338</f>
        <v>7.7700000000000005E-2</v>
      </c>
    </row>
    <row r="129" spans="63:67" x14ac:dyDescent="0.25">
      <c r="BK129" s="6">
        <f>'Age cont'!A339</f>
        <v>181</v>
      </c>
      <c r="BL129">
        <f>'Age cont'!B339</f>
        <v>0.61950000000000005</v>
      </c>
      <c r="BM129">
        <f>'Age cont'!D339</f>
        <v>0.13739999999999999</v>
      </c>
      <c r="BN129">
        <f>'Age cont'!F339</f>
        <v>0.16470000000000001</v>
      </c>
      <c r="BO129">
        <f>'Age cont'!H339</f>
        <v>7.85E-2</v>
      </c>
    </row>
    <row r="130" spans="63:67" x14ac:dyDescent="0.25">
      <c r="BK130" s="6">
        <f>'Age cont'!A340</f>
        <v>187</v>
      </c>
      <c r="BL130">
        <f>'Age cont'!B340</f>
        <v>0.61639999999999995</v>
      </c>
      <c r="BM130">
        <f>'Age cont'!D340</f>
        <v>0.1361</v>
      </c>
      <c r="BN130">
        <f>'Age cont'!F340</f>
        <v>0.16439999999999999</v>
      </c>
      <c r="BO130">
        <f>'Age cont'!H340</f>
        <v>8.3099999999999993E-2</v>
      </c>
    </row>
    <row r="131" spans="63:67" x14ac:dyDescent="0.25">
      <c r="BK131" s="6"/>
    </row>
    <row r="132" spans="63:67" x14ac:dyDescent="0.25">
      <c r="BK132" s="6"/>
    </row>
    <row r="133" spans="63:67" x14ac:dyDescent="0.25">
      <c r="BK133" s="6"/>
    </row>
    <row r="134" spans="63:67" x14ac:dyDescent="0.25">
      <c r="BK134" s="6"/>
    </row>
    <row r="135" spans="63:67" x14ac:dyDescent="0.25">
      <c r="BK135" s="6"/>
    </row>
    <row r="136" spans="63:67" x14ac:dyDescent="0.25">
      <c r="BK136" s="6"/>
    </row>
    <row r="137" spans="63:67" x14ac:dyDescent="0.25">
      <c r="BK137" s="6"/>
    </row>
    <row r="138" spans="63:67" x14ac:dyDescent="0.25">
      <c r="BK138" s="6"/>
    </row>
    <row r="139" spans="63:67" x14ac:dyDescent="0.25">
      <c r="BK139" s="6"/>
    </row>
    <row r="140" spans="63:67" x14ac:dyDescent="0.25">
      <c r="BK140" s="6"/>
    </row>
    <row r="141" spans="63:67" x14ac:dyDescent="0.25">
      <c r="BK141" s="6"/>
    </row>
    <row r="142" spans="63:67" x14ac:dyDescent="0.25">
      <c r="BK142" s="6"/>
    </row>
    <row r="143" spans="63:67" x14ac:dyDescent="0.25">
      <c r="BK143" s="6"/>
    </row>
    <row r="144" spans="63:67" x14ac:dyDescent="0.25">
      <c r="BK144" s="6"/>
    </row>
    <row r="145" spans="63:63" x14ac:dyDescent="0.25">
      <c r="BK145" s="6"/>
    </row>
    <row r="146" spans="63:63" x14ac:dyDescent="0.25">
      <c r="BK146" s="6"/>
    </row>
    <row r="147" spans="63:63" x14ac:dyDescent="0.25">
      <c r="BK147" s="6"/>
    </row>
    <row r="148" spans="63:63" x14ac:dyDescent="0.25">
      <c r="BK148" s="6"/>
    </row>
    <row r="149" spans="63:63" x14ac:dyDescent="0.25">
      <c r="BK149" s="6"/>
    </row>
    <row r="150" spans="63:63" x14ac:dyDescent="0.25">
      <c r="BK150" s="6"/>
    </row>
    <row r="151" spans="63:63" x14ac:dyDescent="0.25">
      <c r="BK151" s="6"/>
    </row>
    <row r="152" spans="63:63" x14ac:dyDescent="0.25">
      <c r="BK152" s="6"/>
    </row>
    <row r="153" spans="63:63" x14ac:dyDescent="0.25">
      <c r="BK153" s="6"/>
    </row>
    <row r="154" spans="63:63" x14ac:dyDescent="0.25">
      <c r="BK154" s="6"/>
    </row>
    <row r="155" spans="63:63" x14ac:dyDescent="0.25">
      <c r="BK155" s="6"/>
    </row>
    <row r="156" spans="63:63" x14ac:dyDescent="0.25">
      <c r="BK156" s="6"/>
    </row>
    <row r="157" spans="63:63" x14ac:dyDescent="0.25">
      <c r="BK157" s="6"/>
    </row>
    <row r="158" spans="63:63" x14ac:dyDescent="0.25">
      <c r="BK158" s="6"/>
    </row>
    <row r="159" spans="63:63" x14ac:dyDescent="0.25">
      <c r="BK159" s="6"/>
    </row>
    <row r="160" spans="63:63" x14ac:dyDescent="0.25">
      <c r="BK160" s="6"/>
    </row>
    <row r="161" spans="63:63" x14ac:dyDescent="0.25">
      <c r="BK161" s="6"/>
    </row>
    <row r="162" spans="63:63" x14ac:dyDescent="0.25">
      <c r="BK162" s="6"/>
    </row>
    <row r="163" spans="63:63" x14ac:dyDescent="0.25">
      <c r="BK163" s="6"/>
    </row>
    <row r="164" spans="63:63" x14ac:dyDescent="0.25">
      <c r="BK164" s="6"/>
    </row>
    <row r="165" spans="63:63" x14ac:dyDescent="0.25">
      <c r="BK165" s="6"/>
    </row>
    <row r="166" spans="63:63" x14ac:dyDescent="0.25">
      <c r="BK166" s="6"/>
    </row>
    <row r="167" spans="63:63" x14ac:dyDescent="0.25">
      <c r="BK167" s="6"/>
    </row>
    <row r="168" spans="63:63" x14ac:dyDescent="0.25">
      <c r="BK168" s="6"/>
    </row>
    <row r="169" spans="63:63" x14ac:dyDescent="0.25">
      <c r="BK169" s="6"/>
    </row>
    <row r="170" spans="63:63" x14ac:dyDescent="0.25">
      <c r="BK170" s="6"/>
    </row>
    <row r="171" spans="63:63" x14ac:dyDescent="0.25">
      <c r="BK171" s="6"/>
    </row>
    <row r="172" spans="63:63" x14ac:dyDescent="0.25">
      <c r="BK172" s="6"/>
    </row>
    <row r="173" spans="63:63" x14ac:dyDescent="0.25">
      <c r="BK173" s="6"/>
    </row>
    <row r="174" spans="63:63" x14ac:dyDescent="0.25">
      <c r="BK174" s="6"/>
    </row>
    <row r="175" spans="63:63" x14ac:dyDescent="0.25">
      <c r="BK175" s="6"/>
    </row>
    <row r="176" spans="63:63" x14ac:dyDescent="0.25">
      <c r="BK176" s="6"/>
    </row>
    <row r="177" spans="63:63" x14ac:dyDescent="0.25">
      <c r="BK177" s="6"/>
    </row>
    <row r="178" spans="63:63" x14ac:dyDescent="0.25">
      <c r="BK178" s="6"/>
    </row>
    <row r="179" spans="63:63" x14ac:dyDescent="0.25">
      <c r="BK179" s="6"/>
    </row>
    <row r="180" spans="63:63" x14ac:dyDescent="0.25">
      <c r="BK180" s="6"/>
    </row>
    <row r="181" spans="63:63" x14ac:dyDescent="0.25">
      <c r="BK181" s="6"/>
    </row>
    <row r="182" spans="63:63" x14ac:dyDescent="0.25">
      <c r="BK182" s="6"/>
    </row>
    <row r="183" spans="63:63" x14ac:dyDescent="0.25">
      <c r="BK183" s="6"/>
    </row>
    <row r="184" spans="63:63" x14ac:dyDescent="0.25">
      <c r="BK184" s="6"/>
    </row>
    <row r="185" spans="63:63" x14ac:dyDescent="0.25">
      <c r="BK185" s="6"/>
    </row>
    <row r="186" spans="63:63" x14ac:dyDescent="0.25">
      <c r="BK186" s="6"/>
    </row>
    <row r="187" spans="63:63" x14ac:dyDescent="0.25">
      <c r="BK187" s="6"/>
    </row>
    <row r="188" spans="63:63" x14ac:dyDescent="0.25">
      <c r="BK188" s="6"/>
    </row>
    <row r="189" spans="63:63" x14ac:dyDescent="0.25">
      <c r="BK189" s="6"/>
    </row>
    <row r="190" spans="63:63" x14ac:dyDescent="0.25">
      <c r="BK190" s="6"/>
    </row>
    <row r="191" spans="63:63" x14ac:dyDescent="0.25">
      <c r="BK191" s="6"/>
    </row>
    <row r="192" spans="63:63" x14ac:dyDescent="0.25">
      <c r="BK192" s="6"/>
    </row>
    <row r="193" spans="63:63" x14ac:dyDescent="0.25">
      <c r="BK193" s="6"/>
    </row>
    <row r="194" spans="63:63" x14ac:dyDescent="0.25">
      <c r="BK194" s="6"/>
    </row>
    <row r="195" spans="63:63" x14ac:dyDescent="0.25">
      <c r="BK195" s="6"/>
    </row>
    <row r="196" spans="63:63" x14ac:dyDescent="0.25">
      <c r="BK196" s="6"/>
    </row>
    <row r="197" spans="63:63" x14ac:dyDescent="0.25">
      <c r="BK197" s="6"/>
    </row>
    <row r="198" spans="63:63" x14ac:dyDescent="0.25">
      <c r="BK198" s="6"/>
    </row>
    <row r="199" spans="63:63" x14ac:dyDescent="0.25">
      <c r="BK199" s="6"/>
    </row>
    <row r="200" spans="63:63" x14ac:dyDescent="0.25">
      <c r="BK200" s="6"/>
    </row>
    <row r="201" spans="63:63" x14ac:dyDescent="0.25">
      <c r="BK201" s="6"/>
    </row>
    <row r="202" spans="63:63" x14ac:dyDescent="0.25">
      <c r="BK202" s="6"/>
    </row>
    <row r="203" spans="63:63" x14ac:dyDescent="0.25">
      <c r="BK203" s="6"/>
    </row>
    <row r="204" spans="63:63" x14ac:dyDescent="0.25">
      <c r="BK204" s="6"/>
    </row>
    <row r="205" spans="63:63" x14ac:dyDescent="0.25">
      <c r="BK205" s="6"/>
    </row>
    <row r="206" spans="63:63" x14ac:dyDescent="0.25">
      <c r="BK206" s="6"/>
    </row>
    <row r="207" spans="63:63" x14ac:dyDescent="0.25">
      <c r="BK207" s="6"/>
    </row>
    <row r="208" spans="63:63" x14ac:dyDescent="0.25">
      <c r="BK208" s="6"/>
    </row>
    <row r="209" spans="63:63" x14ac:dyDescent="0.25">
      <c r="BK209" s="6"/>
    </row>
    <row r="210" spans="63:63" x14ac:dyDescent="0.25">
      <c r="BK210" s="6"/>
    </row>
    <row r="211" spans="63:63" x14ac:dyDescent="0.25">
      <c r="BK211" s="6"/>
    </row>
    <row r="212" spans="63:63" x14ac:dyDescent="0.25">
      <c r="BK212" s="6"/>
    </row>
    <row r="213" spans="63:63" x14ac:dyDescent="0.25">
      <c r="BK213" s="6"/>
    </row>
    <row r="214" spans="63:63" x14ac:dyDescent="0.25">
      <c r="BK214" s="6"/>
    </row>
    <row r="215" spans="63:63" x14ac:dyDescent="0.25">
      <c r="BK215" s="6"/>
    </row>
    <row r="216" spans="63:63" x14ac:dyDescent="0.25">
      <c r="BK216" s="6"/>
    </row>
    <row r="217" spans="63:63" x14ac:dyDescent="0.25">
      <c r="BK217" s="6"/>
    </row>
    <row r="218" spans="63:63" x14ac:dyDescent="0.25">
      <c r="BK218" s="6"/>
    </row>
    <row r="219" spans="63:63" x14ac:dyDescent="0.25">
      <c r="BK219" s="6"/>
    </row>
    <row r="220" spans="63:63" x14ac:dyDescent="0.25">
      <c r="BK220" s="6"/>
    </row>
    <row r="221" spans="63:63" x14ac:dyDescent="0.25">
      <c r="BK221" s="6"/>
    </row>
    <row r="222" spans="63:63" x14ac:dyDescent="0.25">
      <c r="BK222" s="6"/>
    </row>
    <row r="223" spans="63:63" x14ac:dyDescent="0.25">
      <c r="BK223" s="6"/>
    </row>
    <row r="224" spans="63:63" x14ac:dyDescent="0.25">
      <c r="BK224" s="6"/>
    </row>
    <row r="225" spans="63:63" x14ac:dyDescent="0.25">
      <c r="BK225" s="6"/>
    </row>
    <row r="226" spans="63:63" x14ac:dyDescent="0.25">
      <c r="BK226" s="6"/>
    </row>
    <row r="227" spans="63:63" x14ac:dyDescent="0.25">
      <c r="BK227" s="6"/>
    </row>
    <row r="228" spans="63:63" x14ac:dyDescent="0.25">
      <c r="BK228" s="6"/>
    </row>
    <row r="229" spans="63:63" x14ac:dyDescent="0.25">
      <c r="BK229" s="6"/>
    </row>
    <row r="230" spans="63:63" x14ac:dyDescent="0.25">
      <c r="BK230" s="6"/>
    </row>
    <row r="231" spans="63:63" x14ac:dyDescent="0.25">
      <c r="BK231" s="6"/>
    </row>
    <row r="232" spans="63:63" x14ac:dyDescent="0.25">
      <c r="BK232" s="6"/>
    </row>
    <row r="233" spans="63:63" x14ac:dyDescent="0.25">
      <c r="BK233" s="6"/>
    </row>
    <row r="234" spans="63:63" x14ac:dyDescent="0.25">
      <c r="BK234" s="6"/>
    </row>
    <row r="235" spans="63:63" x14ac:dyDescent="0.25">
      <c r="BK235" s="6"/>
    </row>
    <row r="236" spans="63:63" x14ac:dyDescent="0.25">
      <c r="BK236" s="6"/>
    </row>
    <row r="237" spans="63:63" x14ac:dyDescent="0.25">
      <c r="BK237" s="6"/>
    </row>
    <row r="238" spans="63:63" x14ac:dyDescent="0.25">
      <c r="BK238" s="6"/>
    </row>
    <row r="239" spans="63:63" x14ac:dyDescent="0.25">
      <c r="BK239" s="6"/>
    </row>
    <row r="240" spans="63:63" x14ac:dyDescent="0.25">
      <c r="BK240" s="6"/>
    </row>
    <row r="241" spans="63:63" x14ac:dyDescent="0.25">
      <c r="BK241" s="6"/>
    </row>
    <row r="242" spans="63:63" x14ac:dyDescent="0.25">
      <c r="BK242" s="6"/>
    </row>
    <row r="243" spans="63:63" x14ac:dyDescent="0.25">
      <c r="BK243" s="6"/>
    </row>
    <row r="244" spans="63:63" x14ac:dyDescent="0.25">
      <c r="BK244" s="6"/>
    </row>
    <row r="245" spans="63:63" x14ac:dyDescent="0.25">
      <c r="BK245" s="6"/>
    </row>
    <row r="246" spans="63:63" x14ac:dyDescent="0.25">
      <c r="BK246" s="6"/>
    </row>
    <row r="247" spans="63:63" x14ac:dyDescent="0.25">
      <c r="BK247" s="6"/>
    </row>
    <row r="248" spans="63:63" x14ac:dyDescent="0.25">
      <c r="BK248" s="6"/>
    </row>
    <row r="249" spans="63:63" x14ac:dyDescent="0.25">
      <c r="BK249" s="6"/>
    </row>
    <row r="250" spans="63:63" x14ac:dyDescent="0.25">
      <c r="BK250" s="6"/>
    </row>
    <row r="251" spans="63:63" x14ac:dyDescent="0.25">
      <c r="BK251" s="6"/>
    </row>
    <row r="252" spans="63:63" x14ac:dyDescent="0.25">
      <c r="BK252" s="6"/>
    </row>
    <row r="253" spans="63:63" x14ac:dyDescent="0.25">
      <c r="BK253" s="6"/>
    </row>
    <row r="254" spans="63:63" x14ac:dyDescent="0.25">
      <c r="BK254" s="6"/>
    </row>
    <row r="255" spans="63:63" x14ac:dyDescent="0.25">
      <c r="BK255" s="6"/>
    </row>
    <row r="256" spans="63:63" x14ac:dyDescent="0.25">
      <c r="BK256" s="6"/>
    </row>
    <row r="257" spans="63:63" x14ac:dyDescent="0.25">
      <c r="BK257" s="6"/>
    </row>
    <row r="258" spans="63:63" x14ac:dyDescent="0.25">
      <c r="BK258" s="6"/>
    </row>
    <row r="259" spans="63:63" x14ac:dyDescent="0.25">
      <c r="BK259" s="6"/>
    </row>
    <row r="260" spans="63:63" x14ac:dyDescent="0.25">
      <c r="BK260" s="6"/>
    </row>
    <row r="261" spans="63:63" x14ac:dyDescent="0.25">
      <c r="BK261" s="6"/>
    </row>
    <row r="262" spans="63:63" x14ac:dyDescent="0.25">
      <c r="BK262" s="6"/>
    </row>
    <row r="263" spans="63:63" x14ac:dyDescent="0.25">
      <c r="BK263" s="6"/>
    </row>
    <row r="264" spans="63:63" x14ac:dyDescent="0.25">
      <c r="BK264" s="6"/>
    </row>
    <row r="265" spans="63:63" x14ac:dyDescent="0.25">
      <c r="BK265" s="6"/>
    </row>
    <row r="266" spans="63:63" x14ac:dyDescent="0.25">
      <c r="BK266" s="6"/>
    </row>
    <row r="267" spans="63:63" x14ac:dyDescent="0.25">
      <c r="BK267" s="6"/>
    </row>
    <row r="268" spans="63:63" x14ac:dyDescent="0.25">
      <c r="BK268" s="6"/>
    </row>
    <row r="269" spans="63:63" x14ac:dyDescent="0.25">
      <c r="BK269" s="6"/>
    </row>
    <row r="270" spans="63:63" x14ac:dyDescent="0.25">
      <c r="BK270" s="6"/>
    </row>
    <row r="271" spans="63:63" x14ac:dyDescent="0.25">
      <c r="BK271" s="6"/>
    </row>
    <row r="272" spans="63:63" x14ac:dyDescent="0.25">
      <c r="BK272" s="6"/>
    </row>
    <row r="273" spans="63:63" x14ac:dyDescent="0.25">
      <c r="BK273" s="6"/>
    </row>
    <row r="274" spans="63:63" x14ac:dyDescent="0.25">
      <c r="BK274" s="6"/>
    </row>
    <row r="275" spans="63:63" x14ac:dyDescent="0.25">
      <c r="BK275" s="6"/>
    </row>
    <row r="276" spans="63:63" x14ac:dyDescent="0.25">
      <c r="BK276" s="6"/>
    </row>
    <row r="277" spans="63:63" x14ac:dyDescent="0.25">
      <c r="BK277" s="6"/>
    </row>
    <row r="278" spans="63:63" x14ac:dyDescent="0.25">
      <c r="BK278" s="6"/>
    </row>
    <row r="279" spans="63:63" x14ac:dyDescent="0.25">
      <c r="BK279" s="6"/>
    </row>
    <row r="280" spans="63:63" x14ac:dyDescent="0.25">
      <c r="BK280" s="6"/>
    </row>
    <row r="281" spans="63:63" x14ac:dyDescent="0.25">
      <c r="BK281" s="6"/>
    </row>
    <row r="282" spans="63:63" x14ac:dyDescent="0.25">
      <c r="BK282" s="6"/>
    </row>
    <row r="283" spans="63:63" x14ac:dyDescent="0.25">
      <c r="BK283" s="6"/>
    </row>
    <row r="284" spans="63:63" x14ac:dyDescent="0.25">
      <c r="BK284" s="6"/>
    </row>
    <row r="285" spans="63:63" x14ac:dyDescent="0.25">
      <c r="BK285" s="6"/>
    </row>
    <row r="286" spans="63:63" x14ac:dyDescent="0.25">
      <c r="BK286" s="6"/>
    </row>
    <row r="287" spans="63:63" x14ac:dyDescent="0.25">
      <c r="BK287" s="6"/>
    </row>
    <row r="288" spans="63:63" x14ac:dyDescent="0.25">
      <c r="BK288" s="6"/>
    </row>
    <row r="289" spans="63:63" x14ac:dyDescent="0.25">
      <c r="BK289" s="6"/>
    </row>
    <row r="290" spans="63:63" x14ac:dyDescent="0.25">
      <c r="BK290" s="6"/>
    </row>
    <row r="291" spans="63:63" x14ac:dyDescent="0.25">
      <c r="BK291" s="6"/>
    </row>
    <row r="292" spans="63:63" x14ac:dyDescent="0.25">
      <c r="BK292" s="6"/>
    </row>
    <row r="293" spans="63:63" x14ac:dyDescent="0.25">
      <c r="BK293" s="6"/>
    </row>
    <row r="294" spans="63:63" x14ac:dyDescent="0.25">
      <c r="BK294" s="6"/>
    </row>
    <row r="295" spans="63:63" x14ac:dyDescent="0.25">
      <c r="BK295" s="6"/>
    </row>
    <row r="296" spans="63:63" x14ac:dyDescent="0.25">
      <c r="BK296" s="6"/>
    </row>
    <row r="297" spans="63:63" x14ac:dyDescent="0.25">
      <c r="BK297" s="6"/>
    </row>
    <row r="298" spans="63:63" x14ac:dyDescent="0.25">
      <c r="BK298" s="6"/>
    </row>
    <row r="299" spans="63:63" x14ac:dyDescent="0.25">
      <c r="BK299" s="6"/>
    </row>
    <row r="300" spans="63:63" x14ac:dyDescent="0.25">
      <c r="BK300" s="6"/>
    </row>
    <row r="301" spans="63:63" x14ac:dyDescent="0.25">
      <c r="BK301" s="6"/>
    </row>
    <row r="302" spans="63:63" x14ac:dyDescent="0.25">
      <c r="BK302" s="6"/>
    </row>
    <row r="303" spans="63:63" x14ac:dyDescent="0.25">
      <c r="BK303" s="6"/>
    </row>
    <row r="304" spans="63:63" x14ac:dyDescent="0.25">
      <c r="BK304" s="6"/>
    </row>
    <row r="305" spans="63:63" x14ac:dyDescent="0.25">
      <c r="BK305" s="6"/>
    </row>
    <row r="306" spans="63:63" x14ac:dyDescent="0.25">
      <c r="BK306" s="6"/>
    </row>
    <row r="307" spans="63:63" x14ac:dyDescent="0.25">
      <c r="BK307" s="6"/>
    </row>
    <row r="308" spans="63:63" x14ac:dyDescent="0.25">
      <c r="BK308" s="6"/>
    </row>
    <row r="309" spans="63:63" x14ac:dyDescent="0.25">
      <c r="BK309" s="6"/>
    </row>
    <row r="310" spans="63:63" x14ac:dyDescent="0.25">
      <c r="BK310" s="6"/>
    </row>
    <row r="311" spans="63:63" x14ac:dyDescent="0.25">
      <c r="BK311" s="6"/>
    </row>
    <row r="312" spans="63:63" x14ac:dyDescent="0.25">
      <c r="BK312" s="6"/>
    </row>
    <row r="313" spans="63:63" x14ac:dyDescent="0.25">
      <c r="BK313" s="6"/>
    </row>
    <row r="314" spans="63:63" x14ac:dyDescent="0.25">
      <c r="BK314" s="6"/>
    </row>
    <row r="315" spans="63:63" x14ac:dyDescent="0.25">
      <c r="BK315" s="6"/>
    </row>
    <row r="316" spans="63:63" x14ac:dyDescent="0.25">
      <c r="BK316" s="6"/>
    </row>
    <row r="317" spans="63:63" x14ac:dyDescent="0.25">
      <c r="BK317" s="6"/>
    </row>
    <row r="318" spans="63:63" x14ac:dyDescent="0.25">
      <c r="BK318" s="6"/>
    </row>
    <row r="319" spans="63:63" x14ac:dyDescent="0.25">
      <c r="BK319" s="6"/>
    </row>
    <row r="320" spans="63:63" x14ac:dyDescent="0.25">
      <c r="BK320" s="6"/>
    </row>
    <row r="321" spans="63:63" x14ac:dyDescent="0.25">
      <c r="BK321" s="6"/>
    </row>
    <row r="322" spans="63:63" x14ac:dyDescent="0.25">
      <c r="BK322" s="6"/>
    </row>
    <row r="323" spans="63:63" x14ac:dyDescent="0.25">
      <c r="BK323" s="6"/>
    </row>
    <row r="324" spans="63:63" x14ac:dyDescent="0.25">
      <c r="BK324" s="6"/>
    </row>
    <row r="325" spans="63:63" x14ac:dyDescent="0.25">
      <c r="BK325" s="6"/>
    </row>
    <row r="326" spans="63:63" x14ac:dyDescent="0.25">
      <c r="BK326" s="6"/>
    </row>
    <row r="327" spans="63:63" x14ac:dyDescent="0.25">
      <c r="BK327" s="6"/>
    </row>
    <row r="328" spans="63:63" x14ac:dyDescent="0.25">
      <c r="BK328" s="6"/>
    </row>
    <row r="329" spans="63:63" x14ac:dyDescent="0.25">
      <c r="BK329" s="6"/>
    </row>
    <row r="330" spans="63:63" x14ac:dyDescent="0.25">
      <c r="BK330" s="6"/>
    </row>
    <row r="331" spans="63:63" x14ac:dyDescent="0.25">
      <c r="BK331" s="6"/>
    </row>
    <row r="332" spans="63:63" x14ac:dyDescent="0.25">
      <c r="BK332" s="6"/>
    </row>
    <row r="333" spans="63:63" x14ac:dyDescent="0.25">
      <c r="BK333" s="6"/>
    </row>
    <row r="334" spans="63:63" x14ac:dyDescent="0.25">
      <c r="BK334" s="6"/>
    </row>
    <row r="335" spans="63:63" x14ac:dyDescent="0.25">
      <c r="BK335" s="6"/>
    </row>
    <row r="336" spans="63:63" x14ac:dyDescent="0.25">
      <c r="BK336" s="6"/>
    </row>
    <row r="337" spans="63:63" x14ac:dyDescent="0.25">
      <c r="BK337" s="6"/>
    </row>
    <row r="338" spans="63:63" x14ac:dyDescent="0.25">
      <c r="BK338" s="6"/>
    </row>
    <row r="339" spans="63:63" x14ac:dyDescent="0.25">
      <c r="BK339" s="6"/>
    </row>
    <row r="340" spans="63:63" x14ac:dyDescent="0.25">
      <c r="BK340" s="6"/>
    </row>
    <row r="341" spans="63:63" x14ac:dyDescent="0.25">
      <c r="BK341" s="6"/>
    </row>
    <row r="342" spans="63:63" x14ac:dyDescent="0.25">
      <c r="BK342" s="6"/>
    </row>
    <row r="343" spans="63:63" x14ac:dyDescent="0.25">
      <c r="BK343" s="6"/>
    </row>
    <row r="344" spans="63:63" x14ac:dyDescent="0.25">
      <c r="BK344" s="6"/>
    </row>
    <row r="345" spans="63:63" x14ac:dyDescent="0.25">
      <c r="BK345" s="6"/>
    </row>
    <row r="346" spans="63:63" x14ac:dyDescent="0.25">
      <c r="BK346" s="6"/>
    </row>
    <row r="347" spans="63:63" x14ac:dyDescent="0.25">
      <c r="BK347" s="6"/>
    </row>
    <row r="348" spans="63:63" x14ac:dyDescent="0.25">
      <c r="BK348" s="6"/>
    </row>
    <row r="349" spans="63:63" x14ac:dyDescent="0.25">
      <c r="BK349" s="6"/>
    </row>
    <row r="350" spans="63:63" x14ac:dyDescent="0.25">
      <c r="BK350" s="6"/>
    </row>
    <row r="351" spans="63:63" x14ac:dyDescent="0.25">
      <c r="BK351" s="6"/>
    </row>
    <row r="352" spans="63:63" x14ac:dyDescent="0.25">
      <c r="BK352" s="6"/>
    </row>
    <row r="353" spans="63:63" x14ac:dyDescent="0.25">
      <c r="BK353" s="6"/>
    </row>
    <row r="354" spans="63:63" x14ac:dyDescent="0.25">
      <c r="BK354" s="6"/>
    </row>
    <row r="355" spans="63:63" x14ac:dyDescent="0.25">
      <c r="BK355" s="6"/>
    </row>
    <row r="356" spans="63:63" x14ac:dyDescent="0.25">
      <c r="BK356" s="6"/>
    </row>
    <row r="357" spans="63:63" x14ac:dyDescent="0.25">
      <c r="BK357" s="6"/>
    </row>
    <row r="358" spans="63:63" x14ac:dyDescent="0.25">
      <c r="BK358" s="6"/>
    </row>
    <row r="359" spans="63:63" x14ac:dyDescent="0.25">
      <c r="BK359" s="6"/>
    </row>
    <row r="360" spans="63:63" x14ac:dyDescent="0.25">
      <c r="BK360" s="6"/>
    </row>
    <row r="361" spans="63:63" x14ac:dyDescent="0.25">
      <c r="BK361" s="6"/>
    </row>
    <row r="362" spans="63:63" x14ac:dyDescent="0.25">
      <c r="BK362" s="6"/>
    </row>
    <row r="363" spans="63:63" x14ac:dyDescent="0.25">
      <c r="BK363" s="6"/>
    </row>
    <row r="364" spans="63:63" x14ac:dyDescent="0.25">
      <c r="BK364" s="6"/>
    </row>
    <row r="365" spans="63:63" x14ac:dyDescent="0.25">
      <c r="BK365" s="6"/>
    </row>
    <row r="366" spans="63:63" x14ac:dyDescent="0.25">
      <c r="BK366" s="6"/>
    </row>
    <row r="367" spans="63:63" x14ac:dyDescent="0.25">
      <c r="BK367" s="6"/>
    </row>
    <row r="368" spans="63:63" x14ac:dyDescent="0.25">
      <c r="BK368" s="6"/>
    </row>
    <row r="369" spans="63:63" x14ac:dyDescent="0.25">
      <c r="BK369" s="6"/>
    </row>
    <row r="370" spans="63:63" x14ac:dyDescent="0.25">
      <c r="BK370" s="6"/>
    </row>
    <row r="371" spans="63:63" x14ac:dyDescent="0.25">
      <c r="BK371" s="6"/>
    </row>
    <row r="372" spans="63:63" x14ac:dyDescent="0.25">
      <c r="BK372" s="6"/>
    </row>
    <row r="373" spans="63:63" x14ac:dyDescent="0.25">
      <c r="BK373" s="6"/>
    </row>
    <row r="374" spans="63:63" x14ac:dyDescent="0.25">
      <c r="BK374" s="6"/>
    </row>
    <row r="375" spans="63:63" x14ac:dyDescent="0.25">
      <c r="BK375" s="6"/>
    </row>
    <row r="376" spans="63:63" x14ac:dyDescent="0.25">
      <c r="BK376" s="6"/>
    </row>
    <row r="377" spans="63:63" x14ac:dyDescent="0.25">
      <c r="BK377" s="6"/>
    </row>
    <row r="378" spans="63:63" x14ac:dyDescent="0.25">
      <c r="BK378" s="6"/>
    </row>
    <row r="379" spans="63:63" x14ac:dyDescent="0.25">
      <c r="BK379" s="6"/>
    </row>
    <row r="380" spans="63:63" x14ac:dyDescent="0.25">
      <c r="BK380" s="6"/>
    </row>
    <row r="381" spans="63:63" x14ac:dyDescent="0.25">
      <c r="BK381" s="6"/>
    </row>
    <row r="382" spans="63:63" x14ac:dyDescent="0.25">
      <c r="BK382" s="6"/>
    </row>
    <row r="383" spans="63:63" x14ac:dyDescent="0.25">
      <c r="BK383" s="6"/>
    </row>
    <row r="384" spans="63:63" x14ac:dyDescent="0.25">
      <c r="BK384" s="6"/>
    </row>
    <row r="385" spans="63:63" x14ac:dyDescent="0.25">
      <c r="BK385" s="6"/>
    </row>
    <row r="386" spans="63:63" x14ac:dyDescent="0.25">
      <c r="BK386" s="6"/>
    </row>
    <row r="387" spans="63:63" x14ac:dyDescent="0.25">
      <c r="BK387" s="6"/>
    </row>
    <row r="388" spans="63:63" x14ac:dyDescent="0.25">
      <c r="BK388" s="6"/>
    </row>
    <row r="389" spans="63:63" x14ac:dyDescent="0.25">
      <c r="BK389" s="6"/>
    </row>
    <row r="390" spans="63:63" x14ac:dyDescent="0.25">
      <c r="BK390" s="6"/>
    </row>
    <row r="391" spans="63:63" x14ac:dyDescent="0.25">
      <c r="BK391" s="6"/>
    </row>
    <row r="392" spans="63:63" x14ac:dyDescent="0.25">
      <c r="BK392" s="6"/>
    </row>
    <row r="393" spans="63:63" x14ac:dyDescent="0.25">
      <c r="BK393" s="6"/>
    </row>
    <row r="394" spans="63:63" x14ac:dyDescent="0.25">
      <c r="BK394" s="6"/>
    </row>
    <row r="395" spans="63:63" x14ac:dyDescent="0.25">
      <c r="BK395" s="6"/>
    </row>
    <row r="396" spans="63:63" x14ac:dyDescent="0.25">
      <c r="BK396" s="6"/>
    </row>
    <row r="397" spans="63:63" x14ac:dyDescent="0.25">
      <c r="BK397" s="6"/>
    </row>
    <row r="398" spans="63:63" x14ac:dyDescent="0.25">
      <c r="BK398" s="6"/>
    </row>
    <row r="399" spans="63:63" x14ac:dyDescent="0.25">
      <c r="BK399" s="6"/>
    </row>
    <row r="400" spans="63:63" x14ac:dyDescent="0.25">
      <c r="BK400" s="6"/>
    </row>
    <row r="401" spans="63:63" x14ac:dyDescent="0.25">
      <c r="BK401" s="6"/>
    </row>
    <row r="402" spans="63:63" x14ac:dyDescent="0.25">
      <c r="BK402" s="6"/>
    </row>
    <row r="403" spans="63:63" x14ac:dyDescent="0.25">
      <c r="BK403" s="6"/>
    </row>
    <row r="404" spans="63:63" x14ac:dyDescent="0.25">
      <c r="BK404" s="6"/>
    </row>
    <row r="405" spans="63:63" x14ac:dyDescent="0.25">
      <c r="BK405" s="6"/>
    </row>
    <row r="406" spans="63:63" x14ac:dyDescent="0.25">
      <c r="BK406" s="6"/>
    </row>
    <row r="407" spans="63:63" x14ac:dyDescent="0.25">
      <c r="BK407" s="6"/>
    </row>
    <row r="408" spans="63:63" x14ac:dyDescent="0.25">
      <c r="BK408" s="6"/>
    </row>
    <row r="409" spans="63:63" x14ac:dyDescent="0.25">
      <c r="BK409" s="6"/>
    </row>
    <row r="410" spans="63:63" x14ac:dyDescent="0.25">
      <c r="BK410" s="6"/>
    </row>
    <row r="411" spans="63:63" x14ac:dyDescent="0.25">
      <c r="BK411" s="6"/>
    </row>
    <row r="412" spans="63:63" x14ac:dyDescent="0.25">
      <c r="BK412" s="6"/>
    </row>
    <row r="413" spans="63:63" x14ac:dyDescent="0.25">
      <c r="BK413" s="6"/>
    </row>
    <row r="414" spans="63:63" x14ac:dyDescent="0.25">
      <c r="BK414" s="6"/>
    </row>
    <row r="415" spans="63:63" x14ac:dyDescent="0.25">
      <c r="BK415" s="6"/>
    </row>
    <row r="416" spans="63:63" x14ac:dyDescent="0.25">
      <c r="BK416" s="6"/>
    </row>
    <row r="417" spans="63:63" x14ac:dyDescent="0.25">
      <c r="BK417" s="6"/>
    </row>
    <row r="418" spans="63:63" x14ac:dyDescent="0.25">
      <c r="BK418" s="6"/>
    </row>
    <row r="419" spans="63:63" x14ac:dyDescent="0.25">
      <c r="BK419" s="6"/>
    </row>
    <row r="420" spans="63:63" x14ac:dyDescent="0.25">
      <c r="BK420" s="6"/>
    </row>
    <row r="421" spans="63:63" x14ac:dyDescent="0.25">
      <c r="BK421" s="6"/>
    </row>
    <row r="422" spans="63:63" x14ac:dyDescent="0.25">
      <c r="BK422" s="6"/>
    </row>
    <row r="423" spans="63:63" x14ac:dyDescent="0.25">
      <c r="BK423" s="6"/>
    </row>
    <row r="424" spans="63:63" x14ac:dyDescent="0.25">
      <c r="BK424" s="6"/>
    </row>
    <row r="425" spans="63:63" x14ac:dyDescent="0.25">
      <c r="BK425" s="6"/>
    </row>
    <row r="426" spans="63:63" x14ac:dyDescent="0.25">
      <c r="BK426" s="6"/>
    </row>
    <row r="427" spans="63:63" x14ac:dyDescent="0.25">
      <c r="BK427" s="6"/>
    </row>
    <row r="428" spans="63:63" x14ac:dyDescent="0.25">
      <c r="BK428" s="6"/>
    </row>
    <row r="429" spans="63:63" x14ac:dyDescent="0.25">
      <c r="BK429" s="6"/>
    </row>
    <row r="430" spans="63:63" x14ac:dyDescent="0.25">
      <c r="BK430" s="6"/>
    </row>
    <row r="431" spans="63:63" x14ac:dyDescent="0.25">
      <c r="BK431" s="6"/>
    </row>
    <row r="432" spans="63:63" x14ac:dyDescent="0.25">
      <c r="BK432" s="6"/>
    </row>
    <row r="433" spans="63:63" x14ac:dyDescent="0.25">
      <c r="BK433" s="6"/>
    </row>
    <row r="434" spans="63:63" x14ac:dyDescent="0.25">
      <c r="BK434" s="6"/>
    </row>
    <row r="435" spans="63:63" x14ac:dyDescent="0.25">
      <c r="BK435" s="6"/>
    </row>
    <row r="436" spans="63:63" x14ac:dyDescent="0.25">
      <c r="BK436" s="6"/>
    </row>
  </sheetData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209"/>
  <sheetViews>
    <sheetView workbookViewId="0">
      <selection activeCell="B136" sqref="B136"/>
    </sheetView>
  </sheetViews>
  <sheetFormatPr defaultColWidth="36.28515625" defaultRowHeight="15" x14ac:dyDescent="0.25"/>
  <cols>
    <col min="1" max="1" width="35.28515625" bestFit="1" customWidth="1"/>
    <col min="2" max="2" width="12.140625" bestFit="1" customWidth="1"/>
    <col min="3" max="3" width="9.5703125" bestFit="1" customWidth="1"/>
    <col min="4" max="4" width="8.5703125" bestFit="1" customWidth="1"/>
    <col min="5" max="5" width="8.285156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7.5703125" bestFit="1" customWidth="1"/>
    <col min="15" max="15" width="8.42578125" bestFit="1" customWidth="1"/>
  </cols>
  <sheetData>
    <row r="1" spans="1:6" ht="18.75" x14ac:dyDescent="0.25">
      <c r="A1" s="1" t="s">
        <v>189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6408</v>
      </c>
      <c r="C5" s="2"/>
      <c r="D5" s="2"/>
      <c r="E5" s="2"/>
      <c r="F5" s="2"/>
    </row>
    <row r="6" spans="1:6" x14ac:dyDescent="0.25">
      <c r="A6" s="3" t="s">
        <v>2</v>
      </c>
      <c r="B6" s="2">
        <v>9</v>
      </c>
      <c r="C6" s="2"/>
      <c r="D6" s="2"/>
      <c r="E6" s="2"/>
      <c r="F6" s="2"/>
    </row>
    <row r="7" spans="1:6" x14ac:dyDescent="0.25">
      <c r="A7" s="3" t="s">
        <v>3</v>
      </c>
      <c r="B7" s="2">
        <v>11.684900000000001</v>
      </c>
      <c r="C7" s="2"/>
      <c r="D7" s="2"/>
      <c r="E7" s="2"/>
      <c r="F7" s="2"/>
    </row>
    <row r="8" spans="1:6" x14ac:dyDescent="0.25">
      <c r="A8" s="3" t="s">
        <v>4</v>
      </c>
      <c r="B8" s="2">
        <v>11.684900000000001</v>
      </c>
      <c r="C8" s="2"/>
      <c r="D8" s="2"/>
      <c r="E8" s="2"/>
      <c r="F8" s="2"/>
    </row>
    <row r="9" spans="1:6" x14ac:dyDescent="0.25">
      <c r="A9" s="3" t="s">
        <v>5</v>
      </c>
      <c r="B9" s="2">
        <v>309104</v>
      </c>
      <c r="C9" s="2"/>
      <c r="D9" s="2"/>
      <c r="E9" s="2"/>
      <c r="F9" s="2"/>
    </row>
    <row r="10" spans="1:6" x14ac:dyDescent="0.25">
      <c r="A10" s="3" t="s">
        <v>6</v>
      </c>
      <c r="B10" s="2">
        <v>309104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-5612.1684999999998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-5612.1684999999998</v>
      </c>
      <c r="C27" s="2"/>
      <c r="D27" s="2"/>
      <c r="E27" s="2"/>
      <c r="F27" s="2"/>
    </row>
    <row r="28" spans="1:6" x14ac:dyDescent="0.25">
      <c r="A28" s="3" t="s">
        <v>24</v>
      </c>
      <c r="B28" s="2">
        <v>11303.224700000001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11242.3369</v>
      </c>
      <c r="C29" s="2"/>
      <c r="D29" s="2"/>
      <c r="E29" s="2"/>
      <c r="F29" s="2"/>
    </row>
    <row r="30" spans="1:6" x14ac:dyDescent="0.25">
      <c r="A30" s="3" t="s">
        <v>26</v>
      </c>
      <c r="B30" s="2">
        <v>11251.3369</v>
      </c>
      <c r="C30" s="2"/>
      <c r="D30" s="2"/>
      <c r="E30" s="2"/>
      <c r="F30" s="2"/>
    </row>
    <row r="31" spans="1:6" x14ac:dyDescent="0.25">
      <c r="A31" s="3" t="s">
        <v>27</v>
      </c>
      <c r="B31" s="2">
        <v>11312.224700000001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11274.625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0.31190000000000001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7.3000000000000001E-3</v>
      </c>
      <c r="C38" s="2"/>
      <c r="D38" s="2"/>
      <c r="E38" s="2"/>
      <c r="F38" s="2"/>
    </row>
    <row r="39" spans="1:6" x14ac:dyDescent="0.25">
      <c r="A39" s="3" t="s">
        <v>33</v>
      </c>
      <c r="B39" s="2">
        <v>2.0999999999999999E-3</v>
      </c>
      <c r="C39" s="2"/>
      <c r="D39" s="2"/>
      <c r="E39" s="2"/>
      <c r="F39" s="2"/>
    </row>
    <row r="40" spans="1:6" x14ac:dyDescent="0.25">
      <c r="A40" s="3" t="s">
        <v>34</v>
      </c>
      <c r="B40" s="2">
        <v>-11218.1019</v>
      </c>
      <c r="C40" s="2"/>
      <c r="D40" s="2"/>
      <c r="E40" s="2"/>
      <c r="F40" s="2"/>
    </row>
    <row r="41" spans="1:6" x14ac:dyDescent="0.25">
      <c r="A41" s="3" t="s">
        <v>35</v>
      </c>
      <c r="B41" s="2">
        <v>5605.9335000000001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22436.2039</v>
      </c>
      <c r="C42" s="2"/>
      <c r="D42" s="2"/>
      <c r="E42" s="2"/>
      <c r="F42" s="2"/>
    </row>
    <row r="43" spans="1:6" x14ac:dyDescent="0.25">
      <c r="A43" s="3" t="s">
        <v>37</v>
      </c>
      <c r="B43" s="2">
        <v>22620.979299999999</v>
      </c>
      <c r="C43" s="2"/>
      <c r="D43" s="2"/>
      <c r="E43" s="2"/>
      <c r="F43" s="2"/>
    </row>
    <row r="44" spans="1:6" x14ac:dyDescent="0.25">
      <c r="A44" s="3" t="s">
        <v>38</v>
      </c>
      <c r="B44" s="2">
        <v>22515.0916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4409.4272000000001</v>
      </c>
      <c r="C48" s="2">
        <v>0</v>
      </c>
      <c r="D48" s="2">
        <v>0</v>
      </c>
      <c r="E48" s="2">
        <v>0</v>
      </c>
      <c r="F48" s="2">
        <v>4409.4272000000001</v>
      </c>
    </row>
    <row r="49" spans="1:6" x14ac:dyDescent="0.25">
      <c r="A49" s="3" t="s">
        <v>43</v>
      </c>
      <c r="B49" s="2">
        <v>1031.7185999999999</v>
      </c>
      <c r="C49" s="2">
        <v>0</v>
      </c>
      <c r="D49" s="2">
        <v>0</v>
      </c>
      <c r="E49" s="2">
        <v>0</v>
      </c>
      <c r="F49" s="2">
        <v>1031.7185999999999</v>
      </c>
    </row>
    <row r="50" spans="1:6" x14ac:dyDescent="0.25">
      <c r="A50" s="3" t="s">
        <v>44</v>
      </c>
      <c r="B50" s="2">
        <v>882.55889999999999</v>
      </c>
      <c r="C50" s="2">
        <v>0</v>
      </c>
      <c r="D50" s="2">
        <v>0</v>
      </c>
      <c r="E50" s="2">
        <v>0</v>
      </c>
      <c r="F50" s="2">
        <v>882.55889999999999</v>
      </c>
    </row>
    <row r="51" spans="1:6" x14ac:dyDescent="0.25">
      <c r="A51" s="3" t="s">
        <v>45</v>
      </c>
      <c r="B51" s="2">
        <v>84.295299999999997</v>
      </c>
      <c r="C51" s="2">
        <v>0</v>
      </c>
      <c r="D51" s="2">
        <v>0</v>
      </c>
      <c r="E51" s="2">
        <v>0</v>
      </c>
      <c r="F51" s="2">
        <v>84.295299999999997</v>
      </c>
    </row>
    <row r="52" spans="1:6" x14ac:dyDescent="0.25">
      <c r="A52" s="3" t="s">
        <v>46</v>
      </c>
      <c r="B52" s="2">
        <v>6408</v>
      </c>
      <c r="C52" s="2">
        <v>0</v>
      </c>
      <c r="D52" s="2">
        <v>0</v>
      </c>
      <c r="E52" s="2">
        <v>0</v>
      </c>
      <c r="F52" s="2">
        <v>6408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3035.2354999999998</v>
      </c>
      <c r="C56" s="2">
        <v>711.31489999999997</v>
      </c>
      <c r="D56" s="2">
        <v>605.67460000000005</v>
      </c>
      <c r="E56" s="2">
        <v>57.202199999999998</v>
      </c>
      <c r="F56" s="2">
        <v>4409.4272000000001</v>
      </c>
    </row>
    <row r="57" spans="1:6" x14ac:dyDescent="0.25">
      <c r="A57" s="3" t="s">
        <v>43</v>
      </c>
      <c r="B57" s="2">
        <v>711.31489999999997</v>
      </c>
      <c r="C57" s="2">
        <v>168.09229999999999</v>
      </c>
      <c r="D57" s="2">
        <v>139.77250000000001</v>
      </c>
      <c r="E57" s="2">
        <v>12.5389</v>
      </c>
      <c r="F57" s="2">
        <v>1031.7185999999999</v>
      </c>
    </row>
    <row r="58" spans="1:6" x14ac:dyDescent="0.25">
      <c r="A58" s="3" t="s">
        <v>44</v>
      </c>
      <c r="B58" s="2">
        <v>605.67460000000005</v>
      </c>
      <c r="C58" s="2">
        <v>139.77250000000001</v>
      </c>
      <c r="D58" s="2">
        <v>124.28019999999999</v>
      </c>
      <c r="E58" s="2">
        <v>12.8316</v>
      </c>
      <c r="F58" s="2">
        <v>882.55889999999999</v>
      </c>
    </row>
    <row r="59" spans="1:6" x14ac:dyDescent="0.25">
      <c r="A59" s="3" t="s">
        <v>45</v>
      </c>
      <c r="B59" s="2">
        <v>57.202199999999998</v>
      </c>
      <c r="C59" s="2">
        <v>12.5389</v>
      </c>
      <c r="D59" s="2">
        <v>12.8316</v>
      </c>
      <c r="E59" s="2">
        <v>1.7226999999999999</v>
      </c>
      <c r="F59" s="2">
        <v>84.295299999999997</v>
      </c>
    </row>
    <row r="60" spans="1:6" x14ac:dyDescent="0.25">
      <c r="A60" s="3" t="s">
        <v>46</v>
      </c>
      <c r="B60" s="2">
        <v>4409.4272000000001</v>
      </c>
      <c r="C60" s="2">
        <v>1031.7185999999999</v>
      </c>
      <c r="D60" s="2">
        <v>882.55889999999999</v>
      </c>
      <c r="E60" s="2">
        <v>84.295299999999997</v>
      </c>
      <c r="F60" s="2">
        <v>6408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0.31190000000000001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7.3000000000000001E-3</v>
      </c>
      <c r="C65" s="2"/>
      <c r="D65" s="2"/>
      <c r="E65" s="2"/>
      <c r="F65" s="2"/>
    </row>
    <row r="66" spans="1:6" x14ac:dyDescent="0.25">
      <c r="A66" s="3" t="s">
        <v>33</v>
      </c>
      <c r="B66" s="2">
        <v>2.0999999999999999E-3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309104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6408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435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1.0649999999999999E-7</v>
      </c>
      <c r="B106" s="4">
        <v>1.0646676E-7</v>
      </c>
      <c r="C106" s="2"/>
      <c r="D106" s="2"/>
      <c r="E106" s="2"/>
      <c r="F106" s="2"/>
    </row>
    <row r="107" spans="1:6" x14ac:dyDescent="0.25">
      <c r="A107" s="5">
        <v>2.28E-7</v>
      </c>
      <c r="B107" s="4">
        <v>2.2800843000000001E-7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0.99970000000000003</v>
      </c>
      <c r="B109" s="2">
        <v>0.99974262999999997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0.99988560000000004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0.99988832999999999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435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1.8309999999999999E-11</v>
      </c>
      <c r="B114" s="4">
        <v>1.8309181000000002E-11</v>
      </c>
      <c r="C114" s="2"/>
      <c r="D114" s="2"/>
      <c r="E114" s="2"/>
      <c r="F114" s="2"/>
    </row>
    <row r="115" spans="1:6" x14ac:dyDescent="0.25">
      <c r="A115" s="5">
        <v>1.1130000000000001E-10</v>
      </c>
      <c r="B115" s="4">
        <v>1.1126234000000001E-10</v>
      </c>
      <c r="C115" s="2"/>
      <c r="D115" s="2"/>
      <c r="E115" s="2"/>
      <c r="F115" s="2"/>
    </row>
    <row r="116" spans="1:6" x14ac:dyDescent="0.25">
      <c r="A116" s="5">
        <v>4.7929999999999999E-10</v>
      </c>
      <c r="B116" s="4">
        <v>4.7928401E-10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0.99999970999999999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0.99999989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435</v>
      </c>
      <c r="D121" s="2"/>
      <c r="E121" s="2"/>
      <c r="F121" s="2"/>
    </row>
    <row r="122" spans="1:6" x14ac:dyDescent="0.25">
      <c r="A122" s="5">
        <v>9.6690000000000001E-12</v>
      </c>
      <c r="B122" s="4">
        <v>9.6686613000000001E-12</v>
      </c>
      <c r="C122" s="2"/>
      <c r="D122" s="2"/>
      <c r="E122" s="2"/>
      <c r="F122" s="2"/>
    </row>
    <row r="123" spans="1:6" x14ac:dyDescent="0.25">
      <c r="A123" s="5">
        <v>9.7710000000000007E-10</v>
      </c>
      <c r="B123" s="4">
        <v>9.7709966E-10</v>
      </c>
      <c r="C123" s="2"/>
      <c r="D123" s="2"/>
      <c r="E123" s="2"/>
      <c r="F123" s="2"/>
    </row>
    <row r="124" spans="1:6" x14ac:dyDescent="0.25">
      <c r="A124" s="5">
        <v>9.7920000000000009E-10</v>
      </c>
      <c r="B124" s="4">
        <v>9.7918018999999994E-10</v>
      </c>
      <c r="C124" s="2"/>
      <c r="D124" s="2"/>
      <c r="E124" s="2"/>
      <c r="F124" s="2"/>
    </row>
    <row r="125" spans="1:6" x14ac:dyDescent="0.25">
      <c r="A125" s="5">
        <v>1.643E-9</v>
      </c>
      <c r="B125" s="4">
        <v>1.6425519000000001E-9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0.99995913999999997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435</v>
      </c>
      <c r="D130" s="2"/>
      <c r="E130" s="2"/>
      <c r="F130" s="2"/>
    </row>
    <row r="131" spans="1:6" x14ac:dyDescent="0.25">
      <c r="A131" s="5">
        <v>4.4209999999999998E-18</v>
      </c>
      <c r="B131" s="4">
        <v>4.4208654000000004E-18</v>
      </c>
      <c r="C131" s="2"/>
      <c r="D131" s="2"/>
      <c r="E131" s="2"/>
      <c r="F131" s="2"/>
    </row>
    <row r="132" spans="1:6" x14ac:dyDescent="0.25">
      <c r="A132" s="5">
        <v>4.9049999999999997E-18</v>
      </c>
      <c r="B132" s="4">
        <v>4.9054168000000002E-18</v>
      </c>
      <c r="C132" s="2"/>
      <c r="D132" s="2"/>
      <c r="E132" s="2"/>
      <c r="F132" s="2"/>
    </row>
    <row r="133" spans="1:6" x14ac:dyDescent="0.25">
      <c r="A133" s="5">
        <v>2.0040000000000001E-16</v>
      </c>
      <c r="B133" s="4">
        <v>2.0035406E-16</v>
      </c>
      <c r="C133" s="2"/>
      <c r="D133" s="2"/>
      <c r="E133" s="2"/>
      <c r="F133" s="2"/>
    </row>
    <row r="134" spans="1:6" x14ac:dyDescent="0.25">
      <c r="A134" s="5">
        <v>3.7969999999999999E-16</v>
      </c>
      <c r="B134" s="4">
        <v>3.7974266E-16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0.99780000000000002</v>
      </c>
      <c r="B136" s="2">
        <v>0.99779512999999997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0.99999943999999996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0.99999958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190</v>
      </c>
      <c r="B140" s="2" t="s">
        <v>95</v>
      </c>
      <c r="C140" s="2">
        <v>3</v>
      </c>
      <c r="D140" s="2"/>
      <c r="E140" s="2"/>
      <c r="F140" s="2"/>
    </row>
    <row r="141" spans="1:6" ht="28.5" x14ac:dyDescent="0.25">
      <c r="A141" s="3" t="s">
        <v>191</v>
      </c>
      <c r="B141" s="2">
        <v>1</v>
      </c>
      <c r="C141" s="2"/>
      <c r="D141" s="2"/>
      <c r="E141" s="2"/>
      <c r="F141" s="2"/>
    </row>
    <row r="142" spans="1:6" ht="28.5" x14ac:dyDescent="0.25">
      <c r="A142" s="3" t="s">
        <v>192</v>
      </c>
      <c r="B142" s="2">
        <v>2</v>
      </c>
      <c r="C142" s="2"/>
      <c r="D142" s="2"/>
      <c r="E142" s="2"/>
      <c r="F142" s="2"/>
    </row>
    <row r="143" spans="1:6" x14ac:dyDescent="0.25">
      <c r="A143" s="3" t="s">
        <v>193</v>
      </c>
      <c r="B143" s="2">
        <v>3</v>
      </c>
      <c r="C143" s="2"/>
      <c r="D143" s="2"/>
      <c r="E143" s="2"/>
      <c r="F143" s="2"/>
    </row>
    <row r="145" spans="1:16" ht="18.75" x14ac:dyDescent="0.25">
      <c r="A145" s="1" t="s">
        <v>102</v>
      </c>
    </row>
    <row r="147" spans="1:16" x14ac:dyDescent="0.25">
      <c r="A147" s="3" t="s">
        <v>103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28.5" x14ac:dyDescent="0.25">
      <c r="A148" s="3" t="s">
        <v>104</v>
      </c>
      <c r="B148" s="3" t="s">
        <v>42</v>
      </c>
      <c r="C148" s="3" t="s">
        <v>105</v>
      </c>
      <c r="D148" s="3" t="s">
        <v>123</v>
      </c>
      <c r="E148" s="3" t="s">
        <v>43</v>
      </c>
      <c r="F148" s="3" t="s">
        <v>105</v>
      </c>
      <c r="G148" s="3" t="s">
        <v>123</v>
      </c>
      <c r="H148" s="3" t="s">
        <v>44</v>
      </c>
      <c r="I148" s="3" t="s">
        <v>105</v>
      </c>
      <c r="J148" s="3" t="s">
        <v>123</v>
      </c>
      <c r="K148" s="3" t="s">
        <v>45</v>
      </c>
      <c r="L148" s="3" t="s">
        <v>105</v>
      </c>
      <c r="M148" s="3" t="s">
        <v>123</v>
      </c>
      <c r="N148" s="3" t="s">
        <v>106</v>
      </c>
      <c r="O148" s="3" t="s">
        <v>9</v>
      </c>
      <c r="P148" s="2"/>
    </row>
    <row r="149" spans="1:16" x14ac:dyDescent="0.25">
      <c r="A149" s="3"/>
      <c r="B149" s="2">
        <v>1.9204000000000001</v>
      </c>
      <c r="C149" s="2">
        <v>0.15640000000000001</v>
      </c>
      <c r="D149" s="2">
        <v>12.2767</v>
      </c>
      <c r="E149" s="2">
        <v>0.42299999999999999</v>
      </c>
      <c r="F149" s="2">
        <v>0.16739999999999999</v>
      </c>
      <c r="G149" s="2">
        <v>2.5270999999999999</v>
      </c>
      <c r="H149" s="2">
        <v>0.34250000000000003</v>
      </c>
      <c r="I149" s="2">
        <v>0.16209999999999999</v>
      </c>
      <c r="J149" s="2">
        <v>2.1137000000000001</v>
      </c>
      <c r="K149" s="2">
        <v>-2.6859000000000002</v>
      </c>
      <c r="L149" s="2">
        <v>0.33050000000000002</v>
      </c>
      <c r="M149" s="2">
        <v>-8.1267999999999994</v>
      </c>
      <c r="N149" s="2">
        <v>152.572</v>
      </c>
      <c r="O149" s="4">
        <v>7.3000000000000005E-33</v>
      </c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28.5" x14ac:dyDescent="0.25">
      <c r="A151" s="3" t="s">
        <v>107</v>
      </c>
      <c r="B151" s="3" t="s">
        <v>42</v>
      </c>
      <c r="C151" s="3" t="s">
        <v>105</v>
      </c>
      <c r="D151" s="3" t="s">
        <v>123</v>
      </c>
      <c r="E151" s="3" t="s">
        <v>43</v>
      </c>
      <c r="F151" s="3" t="s">
        <v>105</v>
      </c>
      <c r="G151" s="3" t="s">
        <v>123</v>
      </c>
      <c r="H151" s="3" t="s">
        <v>44</v>
      </c>
      <c r="I151" s="3" t="s">
        <v>105</v>
      </c>
      <c r="J151" s="3" t="s">
        <v>123</v>
      </c>
      <c r="K151" s="3" t="s">
        <v>45</v>
      </c>
      <c r="L151" s="3" t="s">
        <v>105</v>
      </c>
      <c r="M151" s="3" t="s">
        <v>123</v>
      </c>
      <c r="N151" s="3" t="s">
        <v>106</v>
      </c>
      <c r="O151" s="3" t="s">
        <v>9</v>
      </c>
      <c r="P151" s="2"/>
    </row>
    <row r="152" spans="1:16" x14ac:dyDescent="0.25">
      <c r="A152" s="3" t="s">
        <v>190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28.5" x14ac:dyDescent="0.25">
      <c r="A153" s="3" t="s">
        <v>191</v>
      </c>
      <c r="B153" s="2">
        <v>-0.33879999999999999</v>
      </c>
      <c r="C153" s="2">
        <v>0.19570000000000001</v>
      </c>
      <c r="D153" s="2">
        <v>-1.7311000000000001</v>
      </c>
      <c r="E153" s="2">
        <v>-0.3952</v>
      </c>
      <c r="F153" s="2">
        <v>0.2324</v>
      </c>
      <c r="G153" s="2">
        <v>-1.7001999999999999</v>
      </c>
      <c r="H153" s="2">
        <v>-0.2011</v>
      </c>
      <c r="I153" s="2">
        <v>0.2162</v>
      </c>
      <c r="J153" s="2">
        <v>-0.93</v>
      </c>
      <c r="K153" s="2">
        <v>0.93510000000000004</v>
      </c>
      <c r="L153" s="2">
        <v>0.45079999999999998</v>
      </c>
      <c r="M153" s="2">
        <v>2.0741000000000001</v>
      </c>
      <c r="N153" s="2">
        <v>6.7130000000000001</v>
      </c>
      <c r="O153" s="2">
        <v>0.35</v>
      </c>
      <c r="P153" s="2"/>
    </row>
    <row r="154" spans="1:16" ht="28.5" x14ac:dyDescent="0.25">
      <c r="A154" s="3" t="s">
        <v>192</v>
      </c>
      <c r="B154" s="2">
        <v>0.13089999999999999</v>
      </c>
      <c r="C154" s="2">
        <v>0.18690000000000001</v>
      </c>
      <c r="D154" s="2">
        <v>0.70050000000000001</v>
      </c>
      <c r="E154" s="2">
        <v>0.2586</v>
      </c>
      <c r="F154" s="2">
        <v>0.20019999999999999</v>
      </c>
      <c r="G154" s="2">
        <v>1.2917000000000001</v>
      </c>
      <c r="H154" s="2">
        <v>-7.1499999999999994E-2</v>
      </c>
      <c r="I154" s="2">
        <v>0.20319999999999999</v>
      </c>
      <c r="J154" s="2">
        <v>-0.35170000000000001</v>
      </c>
      <c r="K154" s="2">
        <v>-0.318</v>
      </c>
      <c r="L154" s="2">
        <v>0.39050000000000001</v>
      </c>
      <c r="M154" s="2">
        <v>-0.8145</v>
      </c>
      <c r="N154" s="2"/>
      <c r="O154" s="2"/>
      <c r="P154" s="2"/>
    </row>
    <row r="155" spans="1:16" x14ac:dyDescent="0.25">
      <c r="A155" s="3" t="s">
        <v>193</v>
      </c>
      <c r="B155" s="2">
        <v>0.2079</v>
      </c>
      <c r="C155" s="2">
        <v>0.2858</v>
      </c>
      <c r="D155" s="2">
        <v>0.72740000000000005</v>
      </c>
      <c r="E155" s="2">
        <v>0.1366</v>
      </c>
      <c r="F155" s="2">
        <v>0.27079999999999999</v>
      </c>
      <c r="G155" s="2">
        <v>0.50429999999999997</v>
      </c>
      <c r="H155" s="2">
        <v>0.27260000000000001</v>
      </c>
      <c r="I155" s="2">
        <v>0.26700000000000002</v>
      </c>
      <c r="J155" s="2">
        <v>1.0209999999999999</v>
      </c>
      <c r="K155" s="2">
        <v>-0.61699999999999999</v>
      </c>
      <c r="L155" s="2">
        <v>0.54610000000000003</v>
      </c>
      <c r="M155" s="2">
        <v>-1.1298999999999999</v>
      </c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8" spans="1:16" ht="18.75" x14ac:dyDescent="0.25">
      <c r="A158" s="1" t="s">
        <v>108</v>
      </c>
    </row>
    <row r="160" spans="1:16" x14ac:dyDescent="0.25">
      <c r="A160" s="3" t="s">
        <v>103</v>
      </c>
      <c r="B160" s="3"/>
      <c r="C160" s="3"/>
      <c r="D160" s="3" t="s">
        <v>106</v>
      </c>
      <c r="E160" s="3" t="s">
        <v>109</v>
      </c>
      <c r="F160" s="3" t="s">
        <v>9</v>
      </c>
    </row>
    <row r="161" spans="1:6" x14ac:dyDescent="0.25">
      <c r="A161" s="3" t="s">
        <v>104</v>
      </c>
      <c r="B161" s="2"/>
      <c r="C161" s="2"/>
      <c r="D161" s="2"/>
      <c r="E161" s="2"/>
      <c r="F161" s="2"/>
    </row>
    <row r="162" spans="1:6" x14ac:dyDescent="0.25">
      <c r="A162" s="3" t="s">
        <v>110</v>
      </c>
      <c r="B162" s="3">
        <v>1</v>
      </c>
      <c r="C162" s="3">
        <v>2</v>
      </c>
      <c r="D162" s="2">
        <v>50.584099999999999</v>
      </c>
      <c r="E162" s="2">
        <v>1</v>
      </c>
      <c r="F162" s="4">
        <v>1.1E-12</v>
      </c>
    </row>
    <row r="163" spans="1:6" x14ac:dyDescent="0.25">
      <c r="A163" s="3" t="s">
        <v>110</v>
      </c>
      <c r="B163" s="3">
        <v>1</v>
      </c>
      <c r="C163" s="3">
        <v>3</v>
      </c>
      <c r="D163" s="2">
        <v>66.302599999999998</v>
      </c>
      <c r="E163" s="2">
        <v>1</v>
      </c>
      <c r="F163" s="4">
        <v>3.8999999999999998E-16</v>
      </c>
    </row>
    <row r="164" spans="1:6" x14ac:dyDescent="0.25">
      <c r="A164" s="3" t="s">
        <v>110</v>
      </c>
      <c r="B164" s="3">
        <v>1</v>
      </c>
      <c r="C164" s="3">
        <v>4</v>
      </c>
      <c r="D164" s="2">
        <v>104.02370000000001</v>
      </c>
      <c r="E164" s="2">
        <v>1</v>
      </c>
      <c r="F164" s="4">
        <v>1.9999999999999998E-24</v>
      </c>
    </row>
    <row r="165" spans="1:6" x14ac:dyDescent="0.25">
      <c r="A165" s="3" t="s">
        <v>110</v>
      </c>
      <c r="B165" s="3">
        <v>2</v>
      </c>
      <c r="C165" s="3">
        <v>3</v>
      </c>
      <c r="D165" s="2">
        <v>0.1434</v>
      </c>
      <c r="E165" s="2">
        <v>1</v>
      </c>
      <c r="F165" s="2">
        <v>0.7</v>
      </c>
    </row>
    <row r="166" spans="1:6" x14ac:dyDescent="0.25">
      <c r="A166" s="3" t="s">
        <v>110</v>
      </c>
      <c r="B166" s="3">
        <v>2</v>
      </c>
      <c r="C166" s="3">
        <v>4</v>
      </c>
      <c r="D166" s="2">
        <v>45.898000000000003</v>
      </c>
      <c r="E166" s="2">
        <v>1</v>
      </c>
      <c r="F166" s="4">
        <v>1.2000000000000001E-11</v>
      </c>
    </row>
    <row r="167" spans="1:6" x14ac:dyDescent="0.25">
      <c r="A167" s="3" t="s">
        <v>110</v>
      </c>
      <c r="B167" s="3">
        <v>3</v>
      </c>
      <c r="C167" s="3">
        <v>4</v>
      </c>
      <c r="D167" s="2">
        <v>43.600900000000003</v>
      </c>
      <c r="E167" s="2">
        <v>1</v>
      </c>
      <c r="F167" s="4">
        <v>3.9999999999999998E-11</v>
      </c>
    </row>
    <row r="168" spans="1:6" x14ac:dyDescent="0.25">
      <c r="A168" s="3" t="s">
        <v>190</v>
      </c>
      <c r="B168" s="2"/>
      <c r="C168" s="2"/>
      <c r="D168" s="2"/>
      <c r="E168" s="2"/>
      <c r="F168" s="2"/>
    </row>
    <row r="169" spans="1:6" x14ac:dyDescent="0.25">
      <c r="A169" s="3" t="s">
        <v>110</v>
      </c>
      <c r="B169" s="3">
        <v>1</v>
      </c>
      <c r="C169" s="3">
        <v>2</v>
      </c>
      <c r="D169" s="2">
        <v>0.30509999999999998</v>
      </c>
      <c r="E169" s="2">
        <v>2</v>
      </c>
      <c r="F169" s="2">
        <v>0.86</v>
      </c>
    </row>
    <row r="170" spans="1:6" x14ac:dyDescent="0.25">
      <c r="A170" s="3" t="s">
        <v>110</v>
      </c>
      <c r="B170" s="3">
        <v>1</v>
      </c>
      <c r="C170" s="3">
        <v>3</v>
      </c>
      <c r="D170" s="2">
        <v>1.1616</v>
      </c>
      <c r="E170" s="2">
        <v>2</v>
      </c>
      <c r="F170" s="2">
        <v>0.56000000000000005</v>
      </c>
    </row>
    <row r="171" spans="1:6" x14ac:dyDescent="0.25">
      <c r="A171" s="3" t="s">
        <v>110</v>
      </c>
      <c r="B171" s="3">
        <v>1</v>
      </c>
      <c r="C171" s="3">
        <v>4</v>
      </c>
      <c r="D171" s="2">
        <v>4.7907999999999999</v>
      </c>
      <c r="E171" s="2">
        <v>2</v>
      </c>
      <c r="F171" s="2">
        <v>9.0999999999999998E-2</v>
      </c>
    </row>
    <row r="172" spans="1:6" x14ac:dyDescent="0.25">
      <c r="A172" s="3" t="s">
        <v>110</v>
      </c>
      <c r="B172" s="3">
        <v>2</v>
      </c>
      <c r="C172" s="3">
        <v>3</v>
      </c>
      <c r="D172" s="2">
        <v>1.607</v>
      </c>
      <c r="E172" s="2">
        <v>2</v>
      </c>
      <c r="F172" s="2">
        <v>0.45</v>
      </c>
    </row>
    <row r="173" spans="1:6" x14ac:dyDescent="0.25">
      <c r="A173" s="3" t="s">
        <v>110</v>
      </c>
      <c r="B173" s="3">
        <v>2</v>
      </c>
      <c r="C173" s="3">
        <v>4</v>
      </c>
      <c r="D173" s="2">
        <v>4.9206000000000003</v>
      </c>
      <c r="E173" s="2">
        <v>2</v>
      </c>
      <c r="F173" s="2">
        <v>8.5000000000000006E-2</v>
      </c>
    </row>
    <row r="174" spans="1:6" x14ac:dyDescent="0.25">
      <c r="A174" s="3" t="s">
        <v>110</v>
      </c>
      <c r="B174" s="3">
        <v>3</v>
      </c>
      <c r="C174" s="3">
        <v>4</v>
      </c>
      <c r="D174" s="2">
        <v>3.33</v>
      </c>
      <c r="E174" s="2">
        <v>2</v>
      </c>
      <c r="F174" s="2">
        <v>0.19</v>
      </c>
    </row>
    <row r="176" spans="1:6" ht="18.75" x14ac:dyDescent="0.25">
      <c r="A176" s="1" t="s">
        <v>111</v>
      </c>
    </row>
    <row r="178" spans="1:9" ht="28.5" x14ac:dyDescent="0.25">
      <c r="A178" s="2"/>
      <c r="B178" s="3" t="s">
        <v>42</v>
      </c>
      <c r="C178" s="3" t="s">
        <v>105</v>
      </c>
      <c r="D178" s="3" t="s">
        <v>43</v>
      </c>
      <c r="E178" s="3" t="s">
        <v>105</v>
      </c>
      <c r="F178" s="3" t="s">
        <v>44</v>
      </c>
      <c r="G178" s="3" t="s">
        <v>105</v>
      </c>
      <c r="H178" s="3" t="s">
        <v>45</v>
      </c>
      <c r="I178" s="3" t="s">
        <v>105</v>
      </c>
    </row>
    <row r="179" spans="1:9" x14ac:dyDescent="0.25">
      <c r="A179" s="3" t="s">
        <v>112</v>
      </c>
      <c r="B179" s="2">
        <v>0.68810000000000004</v>
      </c>
      <c r="C179" s="2">
        <v>2.69E-2</v>
      </c>
      <c r="D179" s="2">
        <v>0.161</v>
      </c>
      <c r="E179" s="2">
        <v>2.3400000000000001E-2</v>
      </c>
      <c r="F179" s="2">
        <v>0.13769999999999999</v>
      </c>
      <c r="G179" s="2">
        <v>1.83E-2</v>
      </c>
      <c r="H179" s="2">
        <v>1.32E-2</v>
      </c>
      <c r="I179" s="2">
        <v>7.4999999999999997E-3</v>
      </c>
    </row>
    <row r="180" spans="1:9" x14ac:dyDescent="0.25">
      <c r="A180" s="3" t="s">
        <v>107</v>
      </c>
      <c r="B180" s="2"/>
      <c r="C180" s="2"/>
      <c r="D180" s="2"/>
      <c r="E180" s="2"/>
      <c r="F180" s="2"/>
      <c r="G180" s="2"/>
      <c r="H180" s="2"/>
      <c r="I180" s="2"/>
    </row>
    <row r="181" spans="1:9" x14ac:dyDescent="0.25">
      <c r="A181" s="3" t="s">
        <v>190</v>
      </c>
      <c r="B181" s="2"/>
      <c r="C181" s="2"/>
      <c r="D181" s="2"/>
      <c r="E181" s="2"/>
      <c r="F181" s="2"/>
      <c r="G181" s="2"/>
      <c r="H181" s="2"/>
      <c r="I181" s="2"/>
    </row>
    <row r="182" spans="1:9" ht="28.5" x14ac:dyDescent="0.25">
      <c r="A182" s="3" t="s">
        <v>191</v>
      </c>
      <c r="B182" s="2">
        <v>0.43669999999999998</v>
      </c>
      <c r="C182" s="2" t="s">
        <v>11</v>
      </c>
      <c r="D182" s="2">
        <v>0.39460000000000001</v>
      </c>
      <c r="E182" s="2" t="s">
        <v>11</v>
      </c>
      <c r="F182" s="2">
        <v>0.51680000000000004</v>
      </c>
      <c r="G182" s="2" t="s">
        <v>11</v>
      </c>
      <c r="H182" s="2">
        <v>0.81559999999999999</v>
      </c>
      <c r="I182" s="2" t="s">
        <v>11</v>
      </c>
    </row>
    <row r="183" spans="1:9" ht="28.5" x14ac:dyDescent="0.25">
      <c r="A183" s="3" t="s">
        <v>192</v>
      </c>
      <c r="B183" s="2">
        <v>0.52980000000000005</v>
      </c>
      <c r="C183" s="2" t="s">
        <v>11</v>
      </c>
      <c r="D183" s="2">
        <v>0.5756</v>
      </c>
      <c r="E183" s="2" t="s">
        <v>11</v>
      </c>
      <c r="F183" s="2">
        <v>0.44629999999999997</v>
      </c>
      <c r="G183" s="2" t="s">
        <v>11</v>
      </c>
      <c r="H183" s="2">
        <v>0.1767</v>
      </c>
      <c r="I183" s="2" t="s">
        <v>11</v>
      </c>
    </row>
    <row r="184" spans="1:9" x14ac:dyDescent="0.25">
      <c r="A184" s="3" t="s">
        <v>193</v>
      </c>
      <c r="B184" s="2">
        <v>3.3500000000000002E-2</v>
      </c>
      <c r="C184" s="2" t="s">
        <v>11</v>
      </c>
      <c r="D184" s="2">
        <v>2.9899999999999999E-2</v>
      </c>
      <c r="E184" s="2" t="s">
        <v>11</v>
      </c>
      <c r="F184" s="2">
        <v>3.6900000000000002E-2</v>
      </c>
      <c r="G184" s="2" t="s">
        <v>11</v>
      </c>
      <c r="H184" s="2">
        <v>7.7000000000000002E-3</v>
      </c>
      <c r="I184" s="2" t="s">
        <v>11</v>
      </c>
    </row>
    <row r="186" spans="1:9" ht="18.75" x14ac:dyDescent="0.25">
      <c r="A186" s="1" t="s">
        <v>113</v>
      </c>
    </row>
    <row r="188" spans="1:9" ht="28.5" x14ac:dyDescent="0.25">
      <c r="A188" s="2"/>
      <c r="B188" s="3" t="s">
        <v>42</v>
      </c>
      <c r="C188" s="3" t="s">
        <v>43</v>
      </c>
      <c r="D188" s="3" t="s">
        <v>44</v>
      </c>
      <c r="E188" s="3" t="s">
        <v>45</v>
      </c>
    </row>
    <row r="189" spans="1:9" x14ac:dyDescent="0.25">
      <c r="A189" s="3" t="s">
        <v>114</v>
      </c>
      <c r="B189" s="2">
        <v>0.68810000000000004</v>
      </c>
      <c r="C189" s="2">
        <v>0.161</v>
      </c>
      <c r="D189" s="2">
        <v>0.13769999999999999</v>
      </c>
      <c r="E189" s="2">
        <v>1.32E-2</v>
      </c>
    </row>
    <row r="190" spans="1:9" x14ac:dyDescent="0.25">
      <c r="A190" s="3" t="s">
        <v>107</v>
      </c>
      <c r="B190" s="2"/>
      <c r="C190" s="2"/>
      <c r="D190" s="2"/>
      <c r="E190" s="2"/>
    </row>
    <row r="191" spans="1:9" x14ac:dyDescent="0.25">
      <c r="A191" s="3" t="s">
        <v>190</v>
      </c>
      <c r="B191" s="2"/>
      <c r="C191" s="2"/>
      <c r="D191" s="2"/>
      <c r="E191" s="2"/>
    </row>
    <row r="192" spans="1:9" ht="28.5" x14ac:dyDescent="0.25">
      <c r="A192" s="3" t="s">
        <v>191</v>
      </c>
      <c r="B192" s="2">
        <v>0.67379999999999995</v>
      </c>
      <c r="C192" s="2">
        <v>0.14249999999999999</v>
      </c>
      <c r="D192" s="2">
        <v>0.15959999999999999</v>
      </c>
      <c r="E192" s="2">
        <v>2.41E-2</v>
      </c>
    </row>
    <row r="193" spans="1:9" ht="28.5" x14ac:dyDescent="0.25">
      <c r="A193" s="3" t="s">
        <v>192</v>
      </c>
      <c r="B193" s="2">
        <v>0.69969999999999999</v>
      </c>
      <c r="C193" s="2">
        <v>0.1779</v>
      </c>
      <c r="D193" s="2">
        <v>0.11799999999999999</v>
      </c>
      <c r="E193" s="2">
        <v>4.4999999999999997E-3</v>
      </c>
    </row>
    <row r="194" spans="1:9" x14ac:dyDescent="0.25">
      <c r="A194" s="3" t="s">
        <v>193</v>
      </c>
      <c r="B194" s="2">
        <v>0.69789999999999996</v>
      </c>
      <c r="C194" s="2">
        <v>0.1454</v>
      </c>
      <c r="D194" s="2">
        <v>0.1537</v>
      </c>
      <c r="E194" s="2">
        <v>3.0999999999999999E-3</v>
      </c>
    </row>
    <row r="196" spans="1:9" ht="18.75" x14ac:dyDescent="0.25">
      <c r="A196" s="1" t="s">
        <v>115</v>
      </c>
    </row>
    <row r="198" spans="1:9" x14ac:dyDescent="0.25">
      <c r="A198" s="2"/>
      <c r="B198" s="35" t="s">
        <v>110</v>
      </c>
      <c r="C198" s="36"/>
      <c r="D198" s="36"/>
      <c r="E198" s="36"/>
      <c r="F198" s="36"/>
      <c r="G198" s="36"/>
      <c r="H198" s="36"/>
      <c r="I198" s="37"/>
    </row>
    <row r="199" spans="1:9" x14ac:dyDescent="0.25">
      <c r="A199" s="3" t="s">
        <v>190</v>
      </c>
      <c r="B199" s="3">
        <v>1</v>
      </c>
      <c r="C199" s="3" t="s">
        <v>105</v>
      </c>
      <c r="D199" s="3">
        <v>2</v>
      </c>
      <c r="E199" s="3" t="s">
        <v>105</v>
      </c>
      <c r="F199" s="3">
        <v>3</v>
      </c>
      <c r="G199" s="3" t="s">
        <v>105</v>
      </c>
      <c r="H199" s="3">
        <v>4</v>
      </c>
      <c r="I199" s="3" t="s">
        <v>105</v>
      </c>
    </row>
    <row r="200" spans="1:9" ht="28.5" x14ac:dyDescent="0.25">
      <c r="A200" s="3" t="s">
        <v>191</v>
      </c>
      <c r="B200" s="2">
        <v>0.67379999999999995</v>
      </c>
      <c r="C200" s="2">
        <v>4.24E-2</v>
      </c>
      <c r="D200" s="2">
        <v>0.14249999999999999</v>
      </c>
      <c r="E200" s="2">
        <v>3.7199999999999997E-2</v>
      </c>
      <c r="F200" s="2">
        <v>0.15959999999999999</v>
      </c>
      <c r="G200" s="2">
        <v>2.9499999999999998E-2</v>
      </c>
      <c r="H200" s="2">
        <v>2.41E-2</v>
      </c>
      <c r="I200" s="2">
        <v>1.66E-2</v>
      </c>
    </row>
    <row r="201" spans="1:9" ht="28.5" x14ac:dyDescent="0.25">
      <c r="A201" s="3" t="s">
        <v>192</v>
      </c>
      <c r="B201" s="2">
        <v>0.69969999999999999</v>
      </c>
      <c r="C201" s="2">
        <v>3.5499999999999997E-2</v>
      </c>
      <c r="D201" s="2">
        <v>0.1779</v>
      </c>
      <c r="E201" s="2">
        <v>3.0499999999999999E-2</v>
      </c>
      <c r="F201" s="2">
        <v>0.11799999999999999</v>
      </c>
      <c r="G201" s="2">
        <v>2.4E-2</v>
      </c>
      <c r="H201" s="2">
        <v>4.4999999999999997E-3</v>
      </c>
      <c r="I201" s="2">
        <v>2.0999999999999999E-3</v>
      </c>
    </row>
    <row r="202" spans="1:9" x14ac:dyDescent="0.25">
      <c r="A202" s="3" t="s">
        <v>193</v>
      </c>
      <c r="B202" s="2">
        <v>0.69789999999999996</v>
      </c>
      <c r="C202" s="2">
        <v>9.69E-2</v>
      </c>
      <c r="D202" s="2">
        <v>0.1454</v>
      </c>
      <c r="E202" s="2">
        <v>5.8599999999999999E-2</v>
      </c>
      <c r="F202" s="2">
        <v>0.1537</v>
      </c>
      <c r="G202" s="2">
        <v>5.8299999999999998E-2</v>
      </c>
      <c r="H202" s="2">
        <v>3.0999999999999999E-3</v>
      </c>
      <c r="I202" s="2">
        <v>3.0999999999999999E-3</v>
      </c>
    </row>
    <row r="203" spans="1:9" x14ac:dyDescent="0.25">
      <c r="A203" s="38"/>
      <c r="B203" s="39"/>
      <c r="C203" s="39"/>
      <c r="D203" s="39"/>
      <c r="E203" s="39"/>
      <c r="F203" s="39"/>
      <c r="G203" s="39"/>
      <c r="H203" s="39"/>
      <c r="I203" s="40"/>
    </row>
    <row r="204" spans="1:9" x14ac:dyDescent="0.25">
      <c r="A204" s="2"/>
      <c r="B204" s="35" t="s">
        <v>116</v>
      </c>
      <c r="C204" s="36"/>
      <c r="D204" s="36"/>
      <c r="E204" s="36"/>
      <c r="F204" s="36"/>
      <c r="G204" s="36"/>
      <c r="H204" s="36"/>
      <c r="I204" s="37"/>
    </row>
    <row r="205" spans="1:9" x14ac:dyDescent="0.25">
      <c r="A205" s="3" t="s">
        <v>110</v>
      </c>
      <c r="B205" s="3" t="s">
        <v>88</v>
      </c>
      <c r="C205" s="3" t="s">
        <v>105</v>
      </c>
      <c r="D205" s="3" t="s">
        <v>90</v>
      </c>
      <c r="E205" s="3" t="s">
        <v>105</v>
      </c>
      <c r="F205" s="3" t="s">
        <v>91</v>
      </c>
      <c r="G205" s="3" t="s">
        <v>105</v>
      </c>
      <c r="H205" s="3" t="s">
        <v>92</v>
      </c>
      <c r="I205" s="3" t="s">
        <v>105</v>
      </c>
    </row>
    <row r="206" spans="1:9" x14ac:dyDescent="0.25">
      <c r="A206" s="3">
        <v>1</v>
      </c>
      <c r="B206" s="2">
        <v>0.95609999999999995</v>
      </c>
      <c r="C206" s="2" t="s">
        <v>11</v>
      </c>
      <c r="D206" s="2">
        <v>3.49E-2</v>
      </c>
      <c r="E206" s="2" t="s">
        <v>11</v>
      </c>
      <c r="F206" s="2">
        <v>8.8000000000000005E-3</v>
      </c>
      <c r="G206" s="2" t="s">
        <v>11</v>
      </c>
      <c r="H206" s="2">
        <v>2.0000000000000001E-4</v>
      </c>
      <c r="I206" s="2" t="s">
        <v>11</v>
      </c>
    </row>
    <row r="207" spans="1:9" x14ac:dyDescent="0.25">
      <c r="A207" s="3">
        <v>2</v>
      </c>
      <c r="B207" s="2">
        <v>0.1492</v>
      </c>
      <c r="C207" s="2" t="s">
        <v>11</v>
      </c>
      <c r="D207" s="2">
        <v>0.80410000000000004</v>
      </c>
      <c r="E207" s="2" t="s">
        <v>11</v>
      </c>
      <c r="F207" s="2">
        <v>4.6300000000000001E-2</v>
      </c>
      <c r="G207" s="2" t="s">
        <v>11</v>
      </c>
      <c r="H207" s="2">
        <v>2.9999999999999997E-4</v>
      </c>
      <c r="I207" s="2" t="s">
        <v>11</v>
      </c>
    </row>
    <row r="208" spans="1:9" x14ac:dyDescent="0.25">
      <c r="A208" s="3">
        <v>3</v>
      </c>
      <c r="B208" s="2">
        <v>4.3700000000000003E-2</v>
      </c>
      <c r="C208" s="2" t="s">
        <v>11</v>
      </c>
      <c r="D208" s="2">
        <v>5.4199999999999998E-2</v>
      </c>
      <c r="E208" s="2" t="s">
        <v>11</v>
      </c>
      <c r="F208" s="2">
        <v>0.90139999999999998</v>
      </c>
      <c r="G208" s="2" t="s">
        <v>11</v>
      </c>
      <c r="H208" s="2">
        <v>6.9999999999999999E-4</v>
      </c>
      <c r="I208" s="2" t="s">
        <v>11</v>
      </c>
    </row>
    <row r="209" spans="1:9" x14ac:dyDescent="0.25">
      <c r="A209" s="3">
        <v>4</v>
      </c>
      <c r="B209" s="2">
        <v>1.17E-2</v>
      </c>
      <c r="C209" s="2" t="s">
        <v>11</v>
      </c>
      <c r="D209" s="2">
        <v>4.1999999999999997E-3</v>
      </c>
      <c r="E209" s="2" t="s">
        <v>11</v>
      </c>
      <c r="F209" s="2">
        <v>7.1000000000000004E-3</v>
      </c>
      <c r="G209" s="2" t="s">
        <v>11</v>
      </c>
      <c r="H209" s="2">
        <v>0.97699999999999998</v>
      </c>
      <c r="I209" s="2" t="s">
        <v>11</v>
      </c>
    </row>
  </sheetData>
  <mergeCells count="5">
    <mergeCell ref="A3:F3"/>
    <mergeCell ref="B69:F69"/>
    <mergeCell ref="B198:I198"/>
    <mergeCell ref="A203:I203"/>
    <mergeCell ref="B204:I204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P204"/>
  <sheetViews>
    <sheetView topLeftCell="A175" workbookViewId="0">
      <selection activeCell="N152" sqref="N152:O152"/>
    </sheetView>
  </sheetViews>
  <sheetFormatPr defaultRowHeight="15" x14ac:dyDescent="0.25"/>
  <cols>
    <col min="1" max="1" width="30.7109375" customWidth="1"/>
    <col min="2" max="2" width="12.140625" bestFit="1" customWidth="1"/>
    <col min="3" max="4" width="9.5703125" bestFit="1" customWidth="1"/>
    <col min="5" max="5" width="8.5703125" bestFit="1" customWidth="1"/>
  </cols>
  <sheetData>
    <row r="1" spans="1:6" ht="37.5" x14ac:dyDescent="0.25">
      <c r="A1" s="1" t="s">
        <v>240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13400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13.809699999999999</v>
      </c>
      <c r="C7" s="2"/>
      <c r="D7" s="2"/>
      <c r="E7" s="2"/>
      <c r="F7" s="2"/>
    </row>
    <row r="8" spans="1:6" x14ac:dyDescent="0.25">
      <c r="A8" s="3" t="s">
        <v>4</v>
      </c>
      <c r="B8" s="2">
        <v>13.809699999999999</v>
      </c>
      <c r="C8" s="2"/>
      <c r="D8" s="2"/>
      <c r="E8" s="2"/>
      <c r="F8" s="2"/>
    </row>
    <row r="9" spans="1:6" x14ac:dyDescent="0.25">
      <c r="A9" s="3" t="s">
        <v>5</v>
      </c>
      <c r="B9" s="2">
        <v>433815</v>
      </c>
      <c r="C9" s="2"/>
      <c r="D9" s="2"/>
      <c r="E9" s="2"/>
      <c r="F9" s="2"/>
    </row>
    <row r="10" spans="1:6" x14ac:dyDescent="0.25">
      <c r="A10" s="3" t="s">
        <v>6</v>
      </c>
      <c r="B10" s="2">
        <v>433815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-12521.8995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-12521.8995</v>
      </c>
      <c r="C27" s="2"/>
      <c r="D27" s="2"/>
      <c r="E27" s="2"/>
      <c r="F27" s="2"/>
    </row>
    <row r="28" spans="1:6" x14ac:dyDescent="0.25">
      <c r="A28" s="3" t="s">
        <v>24</v>
      </c>
      <c r="B28" s="2">
        <v>25100.816999999999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25055.798900000002</v>
      </c>
      <c r="C29" s="2"/>
      <c r="D29" s="2"/>
      <c r="E29" s="2"/>
      <c r="F29" s="2"/>
    </row>
    <row r="30" spans="1:6" x14ac:dyDescent="0.25">
      <c r="A30" s="3" t="s">
        <v>26</v>
      </c>
      <c r="B30" s="2">
        <v>25061.798900000002</v>
      </c>
      <c r="C30" s="2"/>
      <c r="D30" s="2"/>
      <c r="E30" s="2"/>
      <c r="F30" s="2"/>
    </row>
    <row r="31" spans="1:6" x14ac:dyDescent="0.25">
      <c r="A31" s="3" t="s">
        <v>27</v>
      </c>
      <c r="B31" s="2">
        <v>25106.816999999999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25081.749500000002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0.34279999999999999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8.9999999999999998E-4</v>
      </c>
      <c r="C38" s="2"/>
      <c r="D38" s="2"/>
      <c r="E38" s="2"/>
      <c r="F38" s="2"/>
    </row>
    <row r="39" spans="1:6" x14ac:dyDescent="0.25">
      <c r="A39" s="3" t="s">
        <v>33</v>
      </c>
      <c r="B39" s="2">
        <v>1E-3</v>
      </c>
      <c r="C39" s="2"/>
      <c r="D39" s="2"/>
      <c r="E39" s="2"/>
      <c r="F39" s="2"/>
    </row>
    <row r="40" spans="1:6" x14ac:dyDescent="0.25">
      <c r="A40" s="3" t="s">
        <v>34</v>
      </c>
      <c r="B40" s="2">
        <v>-25040.720300000001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12518.8208</v>
      </c>
      <c r="C41" s="2"/>
      <c r="D41" s="2"/>
      <c r="E41" s="2"/>
      <c r="F41" s="2"/>
    </row>
    <row r="42" spans="1:6" x14ac:dyDescent="0.25">
      <c r="A42" s="3" t="s">
        <v>36</v>
      </c>
      <c r="B42" s="2">
        <v>50081.440600000002</v>
      </c>
      <c r="C42" s="2"/>
      <c r="D42" s="2"/>
      <c r="E42" s="2"/>
      <c r="F42" s="2"/>
    </row>
    <row r="43" spans="1:6" x14ac:dyDescent="0.25">
      <c r="A43" s="3" t="s">
        <v>37</v>
      </c>
      <c r="B43" s="2">
        <v>50213.476699999999</v>
      </c>
      <c r="C43" s="2"/>
      <c r="D43" s="2"/>
      <c r="E43" s="2"/>
      <c r="F43" s="2"/>
    </row>
    <row r="44" spans="1:6" x14ac:dyDescent="0.25">
      <c r="A44" s="3" t="s">
        <v>38</v>
      </c>
      <c r="B44" s="2">
        <v>50138.458700000003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8806.5157999999992</v>
      </c>
      <c r="C48" s="2">
        <v>0</v>
      </c>
      <c r="D48" s="2">
        <v>0</v>
      </c>
      <c r="E48" s="2">
        <v>0</v>
      </c>
      <c r="F48" s="2">
        <v>8806.5157999999992</v>
      </c>
    </row>
    <row r="49" spans="1:6" x14ac:dyDescent="0.25">
      <c r="A49" s="3" t="s">
        <v>43</v>
      </c>
      <c r="B49" s="2">
        <v>2225.1707999999999</v>
      </c>
      <c r="C49" s="2">
        <v>0</v>
      </c>
      <c r="D49" s="2">
        <v>0</v>
      </c>
      <c r="E49" s="2">
        <v>0</v>
      </c>
      <c r="F49" s="2">
        <v>2225.1707999999999</v>
      </c>
    </row>
    <row r="50" spans="1:6" x14ac:dyDescent="0.25">
      <c r="A50" s="3" t="s">
        <v>44</v>
      </c>
      <c r="B50" s="2">
        <v>2147.8040999999998</v>
      </c>
      <c r="C50" s="2">
        <v>0</v>
      </c>
      <c r="D50" s="2">
        <v>0</v>
      </c>
      <c r="E50" s="2">
        <v>0</v>
      </c>
      <c r="F50" s="2">
        <v>2147.8040999999998</v>
      </c>
    </row>
    <row r="51" spans="1:6" x14ac:dyDescent="0.25">
      <c r="A51" s="3" t="s">
        <v>45</v>
      </c>
      <c r="B51" s="2">
        <v>220.5093</v>
      </c>
      <c r="C51" s="2">
        <v>0</v>
      </c>
      <c r="D51" s="2">
        <v>0</v>
      </c>
      <c r="E51" s="2">
        <v>0</v>
      </c>
      <c r="F51" s="2">
        <v>220.5093</v>
      </c>
    </row>
    <row r="52" spans="1:6" x14ac:dyDescent="0.25">
      <c r="A52" s="3" t="s">
        <v>46</v>
      </c>
      <c r="B52" s="2">
        <v>13400</v>
      </c>
      <c r="C52" s="2">
        <v>0</v>
      </c>
      <c r="D52" s="2">
        <v>0</v>
      </c>
      <c r="E52" s="2">
        <v>0</v>
      </c>
      <c r="F52" s="2">
        <v>13400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5792.1405000000004</v>
      </c>
      <c r="C56" s="2">
        <v>1459.6404</v>
      </c>
      <c r="D56" s="2">
        <v>1410.2954</v>
      </c>
      <c r="E56" s="2">
        <v>144.43960000000001</v>
      </c>
      <c r="F56" s="2">
        <v>8806.5157999999992</v>
      </c>
    </row>
    <row r="57" spans="1:6" x14ac:dyDescent="0.25">
      <c r="A57" s="3" t="s">
        <v>43</v>
      </c>
      <c r="B57" s="2">
        <v>1459.6404</v>
      </c>
      <c r="C57" s="2">
        <v>371.19369999999998</v>
      </c>
      <c r="D57" s="2">
        <v>357.42489999999998</v>
      </c>
      <c r="E57" s="2">
        <v>36.911799999999999</v>
      </c>
      <c r="F57" s="2">
        <v>2225.1707999999999</v>
      </c>
    </row>
    <row r="58" spans="1:6" x14ac:dyDescent="0.25">
      <c r="A58" s="3" t="s">
        <v>44</v>
      </c>
      <c r="B58" s="2">
        <v>1410.2954</v>
      </c>
      <c r="C58" s="2">
        <v>357.42489999999998</v>
      </c>
      <c r="D58" s="2">
        <v>344.60599999999999</v>
      </c>
      <c r="E58" s="2">
        <v>35.477800000000002</v>
      </c>
      <c r="F58" s="2">
        <v>2147.8040999999998</v>
      </c>
    </row>
    <row r="59" spans="1:6" x14ac:dyDescent="0.25">
      <c r="A59" s="3" t="s">
        <v>45</v>
      </c>
      <c r="B59" s="2">
        <v>144.43960000000001</v>
      </c>
      <c r="C59" s="2">
        <v>36.911799999999999</v>
      </c>
      <c r="D59" s="2">
        <v>35.477800000000002</v>
      </c>
      <c r="E59" s="2">
        <v>3.6800999999999999</v>
      </c>
      <c r="F59" s="2">
        <v>220.5093</v>
      </c>
    </row>
    <row r="60" spans="1:6" x14ac:dyDescent="0.25">
      <c r="A60" s="3" t="s">
        <v>46</v>
      </c>
      <c r="B60" s="2">
        <v>8806.5157999999992</v>
      </c>
      <c r="C60" s="2">
        <v>2225.1707999999999</v>
      </c>
      <c r="D60" s="2">
        <v>2147.8040999999998</v>
      </c>
      <c r="E60" s="2">
        <v>220.5093</v>
      </c>
      <c r="F60" s="2">
        <v>13400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0.34279999999999999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8.9999999999999998E-4</v>
      </c>
      <c r="C65" s="2"/>
      <c r="D65" s="2"/>
      <c r="E65" s="2"/>
      <c r="F65" s="2"/>
    </row>
    <row r="66" spans="1:6" x14ac:dyDescent="0.25">
      <c r="A66" s="3" t="s">
        <v>33</v>
      </c>
      <c r="B66" s="2">
        <v>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232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13400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241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 t="s">
        <v>187</v>
      </c>
      <c r="B141" s="2">
        <v>1</v>
      </c>
      <c r="C141" s="2"/>
      <c r="D141" s="2"/>
      <c r="E141" s="2"/>
      <c r="F141" s="2"/>
    </row>
    <row r="142" spans="1:6" x14ac:dyDescent="0.25">
      <c r="A142" s="3" t="s">
        <v>188</v>
      </c>
      <c r="B142" s="2">
        <v>2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8.5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1.5365</v>
      </c>
      <c r="C148" s="2">
        <v>0.11509999999999999</v>
      </c>
      <c r="D148" s="2">
        <v>13.347300000000001</v>
      </c>
      <c r="E148" s="2">
        <v>0.26690000000000003</v>
      </c>
      <c r="F148" s="2">
        <v>0.1449</v>
      </c>
      <c r="G148" s="2">
        <v>1.8422000000000001</v>
      </c>
      <c r="H148" s="2">
        <v>0.1953</v>
      </c>
      <c r="I148" s="2">
        <v>0.13239999999999999</v>
      </c>
      <c r="J148" s="2">
        <v>1.4743999999999999</v>
      </c>
      <c r="K148" s="2">
        <v>-1.9985999999999999</v>
      </c>
      <c r="L148" s="2">
        <v>0.27510000000000001</v>
      </c>
      <c r="M148" s="2">
        <v>-7.2645999999999997</v>
      </c>
      <c r="N148" s="2">
        <v>198.9486</v>
      </c>
      <c r="O148" s="4">
        <v>7.1000000000000003E-43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8.5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241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187</v>
      </c>
      <c r="B152" s="2">
        <v>-0.1101</v>
      </c>
      <c r="C152" s="2">
        <v>0.11509999999999999</v>
      </c>
      <c r="D152" s="2">
        <v>-0.95630000000000004</v>
      </c>
      <c r="E152" s="2">
        <v>3.1300000000000001E-2</v>
      </c>
      <c r="F152" s="2">
        <v>0.14269999999999999</v>
      </c>
      <c r="G152" s="2">
        <v>0.2195</v>
      </c>
      <c r="H152" s="2">
        <v>-1.83E-2</v>
      </c>
      <c r="I152" s="2">
        <v>0.13469999999999999</v>
      </c>
      <c r="J152" s="2">
        <v>-0.13589999999999999</v>
      </c>
      <c r="K152" s="2">
        <v>9.7000000000000003E-2</v>
      </c>
      <c r="L152" s="2">
        <v>0.27350000000000002</v>
      </c>
      <c r="M152" s="2">
        <v>0.35470000000000002</v>
      </c>
      <c r="N152" s="2">
        <v>1.2341</v>
      </c>
      <c r="O152" s="2">
        <v>0.74</v>
      </c>
      <c r="P152" s="2"/>
    </row>
    <row r="153" spans="1:16" x14ac:dyDescent="0.25">
      <c r="A153" s="3" t="s">
        <v>188</v>
      </c>
      <c r="B153" s="2">
        <v>0.1101</v>
      </c>
      <c r="C153" s="2">
        <v>0.11509999999999999</v>
      </c>
      <c r="D153" s="2">
        <v>0.95630000000000004</v>
      </c>
      <c r="E153" s="2">
        <v>-3.1300000000000001E-2</v>
      </c>
      <c r="F153" s="2">
        <v>0.14269999999999999</v>
      </c>
      <c r="G153" s="2">
        <v>-0.2195</v>
      </c>
      <c r="H153" s="2">
        <v>1.83E-2</v>
      </c>
      <c r="I153" s="2">
        <v>0.13469999999999999</v>
      </c>
      <c r="J153" s="2">
        <v>0.13589999999999999</v>
      </c>
      <c r="K153" s="2">
        <v>-9.7000000000000003E-2</v>
      </c>
      <c r="L153" s="2">
        <v>0.27350000000000002</v>
      </c>
      <c r="M153" s="2">
        <v>-0.35470000000000002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62.793399999999998</v>
      </c>
      <c r="E160" s="2">
        <v>1</v>
      </c>
      <c r="F160" s="4">
        <v>2.2999999999999999E-15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96.705699999999993</v>
      </c>
      <c r="E161" s="2">
        <v>1</v>
      </c>
      <c r="F161" s="4">
        <v>7.9999999999999997E-23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91.747799999999998</v>
      </c>
      <c r="E162" s="2">
        <v>1</v>
      </c>
      <c r="F162" s="4">
        <v>9.7999999999999996E-22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0.1449</v>
      </c>
      <c r="E163" s="2">
        <v>1</v>
      </c>
      <c r="F163" s="2">
        <v>0.7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34.131999999999998</v>
      </c>
      <c r="E164" s="2">
        <v>1</v>
      </c>
      <c r="F164" s="4">
        <v>5.2000000000000002E-9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33.505899999999997</v>
      </c>
      <c r="E165" s="2">
        <v>1</v>
      </c>
      <c r="F165" s="4">
        <v>7.0999999999999999E-9</v>
      </c>
    </row>
    <row r="166" spans="1:9" x14ac:dyDescent="0.25">
      <c r="A166" s="3" t="s">
        <v>241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0.78120000000000001</v>
      </c>
      <c r="E167" s="2">
        <v>1</v>
      </c>
      <c r="F167" s="2">
        <v>0.38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0.4577</v>
      </c>
      <c r="E168" s="2">
        <v>1</v>
      </c>
      <c r="F168" s="2">
        <v>0.5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0.31630000000000003</v>
      </c>
      <c r="E169" s="2">
        <v>1</v>
      </c>
      <c r="F169" s="2">
        <v>0.56999999999999995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6.7599999999999993E-2</v>
      </c>
      <c r="E170" s="2">
        <v>1</v>
      </c>
      <c r="F170" s="2">
        <v>0.79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2.9600000000000001E-2</v>
      </c>
      <c r="E171" s="2">
        <v>1</v>
      </c>
      <c r="F171" s="2">
        <v>0.86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9.2200000000000004E-2</v>
      </c>
      <c r="E172" s="2">
        <v>1</v>
      </c>
      <c r="F172" s="2">
        <v>0.76</v>
      </c>
    </row>
    <row r="174" spans="1:9" ht="18.75" x14ac:dyDescent="0.25">
      <c r="A174" s="1" t="s">
        <v>111</v>
      </c>
    </row>
    <row r="176" spans="1:9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0.65720000000000001</v>
      </c>
      <c r="C177" s="2">
        <v>1.89E-2</v>
      </c>
      <c r="D177" s="2">
        <v>0.1661</v>
      </c>
      <c r="E177" s="2">
        <v>1.61E-2</v>
      </c>
      <c r="F177" s="2">
        <v>0.1603</v>
      </c>
      <c r="G177" s="2">
        <v>1.4E-2</v>
      </c>
      <c r="H177" s="2">
        <v>1.6500000000000001E-2</v>
      </c>
      <c r="I177" s="2">
        <v>4.4999999999999997E-3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241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 t="s">
        <v>187</v>
      </c>
      <c r="B180" s="2">
        <v>0.11</v>
      </c>
      <c r="C180" s="2" t="s">
        <v>11</v>
      </c>
      <c r="D180" s="2">
        <v>0.1409</v>
      </c>
      <c r="E180" s="2" t="s">
        <v>11</v>
      </c>
      <c r="F180" s="2">
        <v>0.1293</v>
      </c>
      <c r="G180" s="2" t="s">
        <v>11</v>
      </c>
      <c r="H180" s="2">
        <v>0.1575</v>
      </c>
      <c r="I180" s="2" t="s">
        <v>11</v>
      </c>
    </row>
    <row r="181" spans="1:9" x14ac:dyDescent="0.25">
      <c r="A181" s="3" t="s">
        <v>188</v>
      </c>
      <c r="B181" s="2">
        <v>0.89</v>
      </c>
      <c r="C181" s="2" t="s">
        <v>11</v>
      </c>
      <c r="D181" s="2">
        <v>0.85909999999999997</v>
      </c>
      <c r="E181" s="2" t="s">
        <v>11</v>
      </c>
      <c r="F181" s="2">
        <v>0.87070000000000003</v>
      </c>
      <c r="G181" s="2" t="s">
        <v>11</v>
      </c>
      <c r="H181" s="2">
        <v>0.84250000000000003</v>
      </c>
      <c r="I181" s="2" t="s">
        <v>11</v>
      </c>
    </row>
    <row r="183" spans="1:9" ht="18.75" x14ac:dyDescent="0.25">
      <c r="A183" s="1" t="s">
        <v>113</v>
      </c>
    </row>
    <row r="185" spans="1:9" ht="28.5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0.65720000000000001</v>
      </c>
      <c r="C186" s="2">
        <v>0.1661</v>
      </c>
      <c r="D186" s="2">
        <v>0.1603</v>
      </c>
      <c r="E186" s="2">
        <v>1.6500000000000001E-2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241</v>
      </c>
      <c r="B188" s="2"/>
      <c r="C188" s="2"/>
      <c r="D188" s="2"/>
      <c r="E188" s="2"/>
    </row>
    <row r="189" spans="1:9" x14ac:dyDescent="0.25">
      <c r="A189" s="3" t="s">
        <v>187</v>
      </c>
      <c r="B189" s="2">
        <v>0.60750000000000004</v>
      </c>
      <c r="C189" s="2">
        <v>0.1966</v>
      </c>
      <c r="D189" s="2">
        <v>0.1741</v>
      </c>
      <c r="E189" s="2">
        <v>2.18E-2</v>
      </c>
    </row>
    <row r="190" spans="1:9" x14ac:dyDescent="0.25">
      <c r="A190" s="3" t="s">
        <v>188</v>
      </c>
      <c r="B190" s="2">
        <v>0.66390000000000005</v>
      </c>
      <c r="C190" s="2">
        <v>0.16189999999999999</v>
      </c>
      <c r="D190" s="2">
        <v>0.15840000000000001</v>
      </c>
      <c r="E190" s="2">
        <v>1.5699999999999999E-2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241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 t="s">
        <v>187</v>
      </c>
      <c r="B196" s="2">
        <v>0.60750000000000004</v>
      </c>
      <c r="C196" s="2">
        <v>4.9700000000000001E-2</v>
      </c>
      <c r="D196" s="2">
        <v>0.1966</v>
      </c>
      <c r="E196" s="2">
        <v>4.5199999999999997E-2</v>
      </c>
      <c r="F196" s="2">
        <v>0.1741</v>
      </c>
      <c r="G196" s="2">
        <v>3.4799999999999998E-2</v>
      </c>
      <c r="H196" s="2">
        <v>2.18E-2</v>
      </c>
      <c r="I196" s="2">
        <v>1.4200000000000001E-2</v>
      </c>
    </row>
    <row r="197" spans="1:9" x14ac:dyDescent="0.25">
      <c r="A197" s="3" t="s">
        <v>188</v>
      </c>
      <c r="B197" s="2">
        <v>0.66390000000000005</v>
      </c>
      <c r="C197" s="2">
        <v>2.0299999999999999E-2</v>
      </c>
      <c r="D197" s="2">
        <v>0.16189999999999999</v>
      </c>
      <c r="E197" s="2">
        <v>1.7299999999999999E-2</v>
      </c>
      <c r="F197" s="2">
        <v>0.15840000000000001</v>
      </c>
      <c r="G197" s="2">
        <v>1.52E-2</v>
      </c>
      <c r="H197" s="2">
        <v>1.5699999999999999E-2</v>
      </c>
      <c r="I197" s="2">
        <v>4.7000000000000002E-3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0.95289999999999997</v>
      </c>
      <c r="C201" s="2" t="s">
        <v>11</v>
      </c>
      <c r="D201" s="2">
        <v>3.7100000000000001E-2</v>
      </c>
      <c r="E201" s="2" t="s">
        <v>11</v>
      </c>
      <c r="F201" s="2">
        <v>9.4999999999999998E-3</v>
      </c>
      <c r="G201" s="2" t="s">
        <v>11</v>
      </c>
      <c r="H201" s="2">
        <v>5.0000000000000001E-4</v>
      </c>
      <c r="I201" s="2" t="s">
        <v>11</v>
      </c>
    </row>
    <row r="202" spans="1:9" x14ac:dyDescent="0.25">
      <c r="A202" s="3">
        <v>2</v>
      </c>
      <c r="B202" s="2">
        <v>0.1469</v>
      </c>
      <c r="C202" s="2" t="s">
        <v>11</v>
      </c>
      <c r="D202" s="2">
        <v>0.80220000000000002</v>
      </c>
      <c r="E202" s="2" t="s">
        <v>11</v>
      </c>
      <c r="F202" s="2">
        <v>5.0700000000000002E-2</v>
      </c>
      <c r="G202" s="2" t="s">
        <v>11</v>
      </c>
      <c r="H202" s="2">
        <v>2.0000000000000001E-4</v>
      </c>
      <c r="I202" s="2" t="s">
        <v>11</v>
      </c>
    </row>
    <row r="203" spans="1:9" x14ac:dyDescent="0.25">
      <c r="A203" s="3">
        <v>3</v>
      </c>
      <c r="B203" s="2">
        <v>3.8800000000000001E-2</v>
      </c>
      <c r="C203" s="2" t="s">
        <v>11</v>
      </c>
      <c r="D203" s="2">
        <v>5.2499999999999998E-2</v>
      </c>
      <c r="E203" s="2" t="s">
        <v>11</v>
      </c>
      <c r="F203" s="2">
        <v>0.90569999999999995</v>
      </c>
      <c r="G203" s="2" t="s">
        <v>11</v>
      </c>
      <c r="H203" s="2">
        <v>3.0000000000000001E-3</v>
      </c>
      <c r="I203" s="2" t="s">
        <v>11</v>
      </c>
    </row>
    <row r="204" spans="1:9" x14ac:dyDescent="0.25">
      <c r="A204" s="3">
        <v>4</v>
      </c>
      <c r="B204" s="2">
        <v>1.9400000000000001E-2</v>
      </c>
      <c r="C204" s="2" t="s">
        <v>11</v>
      </c>
      <c r="D204" s="2">
        <v>2E-3</v>
      </c>
      <c r="E204" s="2" t="s">
        <v>11</v>
      </c>
      <c r="F204" s="2">
        <v>2.9399999999999999E-2</v>
      </c>
      <c r="G204" s="2" t="s">
        <v>11</v>
      </c>
      <c r="H204" s="2">
        <v>0.94920000000000004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P224"/>
  <sheetViews>
    <sheetView topLeftCell="A24" workbookViewId="0">
      <selection activeCell="B69" sqref="B69"/>
    </sheetView>
  </sheetViews>
  <sheetFormatPr defaultRowHeight="15" x14ac:dyDescent="0.25"/>
  <cols>
    <col min="1" max="4" width="30.7109375" customWidth="1"/>
  </cols>
  <sheetData>
    <row r="1" spans="1:6" ht="56.25" x14ac:dyDescent="0.25">
      <c r="A1" s="1" t="s">
        <v>284</v>
      </c>
    </row>
    <row r="3" spans="1:6" ht="28.5" x14ac:dyDescent="0.25">
      <c r="A3" s="19" t="s">
        <v>0</v>
      </c>
      <c r="B3" s="20"/>
      <c r="C3" s="20"/>
      <c r="D3" s="20"/>
      <c r="E3" s="20"/>
      <c r="F3" s="21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13212</v>
      </c>
      <c r="C5" s="2"/>
      <c r="D5" s="2"/>
      <c r="E5" s="2"/>
      <c r="F5" s="2"/>
    </row>
    <row r="6" spans="1:6" x14ac:dyDescent="0.25">
      <c r="A6" s="3" t="s">
        <v>2</v>
      </c>
      <c r="B6" s="2">
        <v>12</v>
      </c>
      <c r="C6" s="2"/>
      <c r="D6" s="2"/>
      <c r="E6" s="2"/>
      <c r="F6" s="2"/>
    </row>
    <row r="7" spans="1:6" x14ac:dyDescent="0.25">
      <c r="A7" s="3" t="s">
        <v>3</v>
      </c>
      <c r="B7" s="2">
        <v>10.365</v>
      </c>
      <c r="C7" s="2"/>
      <c r="D7" s="2"/>
      <c r="E7" s="2"/>
      <c r="F7" s="2"/>
    </row>
    <row r="8" spans="1:6" x14ac:dyDescent="0.25">
      <c r="A8" s="3" t="s">
        <v>4</v>
      </c>
      <c r="B8" s="2">
        <v>10.365</v>
      </c>
      <c r="C8" s="2"/>
      <c r="D8" s="2"/>
      <c r="E8" s="2"/>
      <c r="F8" s="2"/>
    </row>
    <row r="9" spans="1:6" x14ac:dyDescent="0.25">
      <c r="A9" s="3" t="s">
        <v>5</v>
      </c>
      <c r="B9" s="2">
        <v>83149</v>
      </c>
      <c r="C9" s="2"/>
      <c r="D9" s="2"/>
      <c r="E9" s="2"/>
      <c r="F9" s="2"/>
    </row>
    <row r="10" spans="1:6" x14ac:dyDescent="0.25">
      <c r="A10" s="3" t="s">
        <v>6</v>
      </c>
      <c r="B10" s="2">
        <v>83149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-12269.186400000001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-12269.186400000001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24652.239300000001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24562.372800000001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24574.372800000001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24664.239300000001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24614.104500000001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0.34289999999999998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4.3E-3</v>
      </c>
      <c r="C38" s="2"/>
      <c r="D38" s="2"/>
      <c r="E38" s="2"/>
      <c r="F38" s="2"/>
    </row>
    <row r="39" spans="1:6" x14ac:dyDescent="0.25">
      <c r="A39" s="3" t="s">
        <v>33</v>
      </c>
      <c r="B39" s="2">
        <v>2.8999999999999998E-3</v>
      </c>
      <c r="C39" s="2"/>
      <c r="D39" s="2"/>
      <c r="E39" s="2"/>
      <c r="F39" s="2"/>
    </row>
    <row r="40" spans="1:6" x14ac:dyDescent="0.25">
      <c r="A40" s="3" t="s">
        <v>34</v>
      </c>
      <c r="B40" s="2">
        <v>-24523.483400000001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12254.297</v>
      </c>
      <c r="C41" s="2"/>
      <c r="D41" s="2"/>
      <c r="E41" s="2"/>
      <c r="F41" s="2"/>
    </row>
    <row r="42" spans="1:6" x14ac:dyDescent="0.25">
      <c r="A42" s="3" t="s">
        <v>36</v>
      </c>
      <c r="B42" s="2">
        <v>49046.966800000002</v>
      </c>
      <c r="C42" s="2"/>
      <c r="D42" s="2"/>
      <c r="E42" s="2"/>
      <c r="F42" s="2"/>
    </row>
    <row r="43" spans="1:6" x14ac:dyDescent="0.25">
      <c r="A43" s="3" t="s">
        <v>37</v>
      </c>
      <c r="B43" s="2">
        <v>49310.6999</v>
      </c>
      <c r="C43" s="2"/>
      <c r="D43" s="2"/>
      <c r="E43" s="2"/>
      <c r="F43" s="2"/>
    </row>
    <row r="44" spans="1:6" x14ac:dyDescent="0.25">
      <c r="A44" s="3" t="s">
        <v>38</v>
      </c>
      <c r="B44" s="2">
        <v>49160.833400000003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8681.3340000000007</v>
      </c>
      <c r="C48" s="2">
        <v>0</v>
      </c>
      <c r="D48" s="2">
        <v>0</v>
      </c>
      <c r="E48" s="2">
        <v>0</v>
      </c>
      <c r="F48" s="2">
        <v>8681.3340000000007</v>
      </c>
    </row>
    <row r="49" spans="1:6" x14ac:dyDescent="0.25">
      <c r="A49" s="3" t="s">
        <v>43</v>
      </c>
      <c r="B49" s="2">
        <v>2219.3645999999999</v>
      </c>
      <c r="C49" s="2">
        <v>0</v>
      </c>
      <c r="D49" s="2">
        <v>0</v>
      </c>
      <c r="E49" s="2">
        <v>0</v>
      </c>
      <c r="F49" s="2">
        <v>2219.3645999999999</v>
      </c>
    </row>
    <row r="50" spans="1:6" x14ac:dyDescent="0.25">
      <c r="A50" s="3" t="s">
        <v>44</v>
      </c>
      <c r="B50" s="2">
        <v>2114.299</v>
      </c>
      <c r="C50" s="2">
        <v>0</v>
      </c>
      <c r="D50" s="2">
        <v>0</v>
      </c>
      <c r="E50" s="2">
        <v>0</v>
      </c>
      <c r="F50" s="2">
        <v>2114.299</v>
      </c>
    </row>
    <row r="51" spans="1:6" x14ac:dyDescent="0.25">
      <c r="A51" s="3" t="s">
        <v>45</v>
      </c>
      <c r="B51" s="2">
        <v>197.00239999999999</v>
      </c>
      <c r="C51" s="2">
        <v>0</v>
      </c>
      <c r="D51" s="2">
        <v>0</v>
      </c>
      <c r="E51" s="2">
        <v>0</v>
      </c>
      <c r="F51" s="2">
        <v>197.00239999999999</v>
      </c>
    </row>
    <row r="52" spans="1:6" x14ac:dyDescent="0.25">
      <c r="A52" s="3" t="s">
        <v>46</v>
      </c>
      <c r="B52" s="2">
        <v>13212</v>
      </c>
      <c r="C52" s="2">
        <v>0</v>
      </c>
      <c r="D52" s="2">
        <v>0</v>
      </c>
      <c r="E52" s="2">
        <v>0</v>
      </c>
      <c r="F52" s="2">
        <v>13212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5711.3512000000001</v>
      </c>
      <c r="C56" s="2">
        <v>1455.943</v>
      </c>
      <c r="D56" s="2">
        <v>1384.547</v>
      </c>
      <c r="E56" s="2">
        <v>129.49279999999999</v>
      </c>
      <c r="F56" s="2">
        <v>8681.3340000000007</v>
      </c>
    </row>
    <row r="57" spans="1:6" x14ac:dyDescent="0.25">
      <c r="A57" s="3" t="s">
        <v>43</v>
      </c>
      <c r="B57" s="2">
        <v>1455.943</v>
      </c>
      <c r="C57" s="2">
        <v>378.5684</v>
      </c>
      <c r="D57" s="2">
        <v>352.59969999999998</v>
      </c>
      <c r="E57" s="2">
        <v>32.253500000000003</v>
      </c>
      <c r="F57" s="2">
        <v>2219.3645999999999</v>
      </c>
    </row>
    <row r="58" spans="1:6" x14ac:dyDescent="0.25">
      <c r="A58" s="3" t="s">
        <v>44</v>
      </c>
      <c r="B58" s="2">
        <v>1384.547</v>
      </c>
      <c r="C58" s="2">
        <v>352.59969999999998</v>
      </c>
      <c r="D58" s="2">
        <v>345.04399999999998</v>
      </c>
      <c r="E58" s="2">
        <v>32.1083</v>
      </c>
      <c r="F58" s="2">
        <v>2114.299</v>
      </c>
    </row>
    <row r="59" spans="1:6" x14ac:dyDescent="0.25">
      <c r="A59" s="3" t="s">
        <v>45</v>
      </c>
      <c r="B59" s="2">
        <v>129.49279999999999</v>
      </c>
      <c r="C59" s="2">
        <v>32.253500000000003</v>
      </c>
      <c r="D59" s="2">
        <v>32.1083</v>
      </c>
      <c r="E59" s="2">
        <v>3.1476999999999999</v>
      </c>
      <c r="F59" s="2">
        <v>197.00239999999999</v>
      </c>
    </row>
    <row r="60" spans="1:6" x14ac:dyDescent="0.25">
      <c r="A60" s="3" t="s">
        <v>46</v>
      </c>
      <c r="B60" s="2">
        <v>8681.3340000000007</v>
      </c>
      <c r="C60" s="2">
        <v>2219.3645999999999</v>
      </c>
      <c r="D60" s="2">
        <v>2114.299</v>
      </c>
      <c r="E60" s="2">
        <v>197.00239999999999</v>
      </c>
      <c r="F60" s="2">
        <v>13212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0.34289999999999998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4.3E-3</v>
      </c>
      <c r="C65" s="2"/>
      <c r="D65" s="2"/>
      <c r="E65" s="2"/>
      <c r="F65" s="2"/>
    </row>
    <row r="66" spans="1:6" x14ac:dyDescent="0.25">
      <c r="A66" s="3" t="s">
        <v>33</v>
      </c>
      <c r="B66" s="2">
        <v>2.8999999999999998E-3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ht="75" x14ac:dyDescent="0.25">
      <c r="A69" s="3" t="s">
        <v>50</v>
      </c>
      <c r="B69" s="22" t="s">
        <v>256</v>
      </c>
      <c r="C69" s="23"/>
      <c r="D69" s="23"/>
      <c r="E69" s="23"/>
      <c r="F69" s="24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83149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13212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706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706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706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706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235</v>
      </c>
      <c r="B140" s="2" t="s">
        <v>95</v>
      </c>
      <c r="C140" s="2">
        <v>4</v>
      </c>
      <c r="D140" s="2"/>
      <c r="E140" s="2"/>
      <c r="F140" s="2"/>
    </row>
    <row r="141" spans="1:6" ht="42.75" x14ac:dyDescent="0.25">
      <c r="A141" s="3" t="s">
        <v>236</v>
      </c>
      <c r="B141" s="2">
        <v>1</v>
      </c>
      <c r="C141" s="2"/>
      <c r="D141" s="2"/>
      <c r="E141" s="2"/>
      <c r="F141" s="2"/>
    </row>
    <row r="142" spans="1:6" ht="42.75" x14ac:dyDescent="0.25">
      <c r="A142" s="3" t="s">
        <v>237</v>
      </c>
      <c r="B142" s="2">
        <v>2</v>
      </c>
      <c r="C142" s="2"/>
      <c r="D142" s="2"/>
      <c r="E142" s="2"/>
      <c r="F142" s="2"/>
    </row>
    <row r="143" spans="1:6" x14ac:dyDescent="0.25">
      <c r="A143" s="3" t="s">
        <v>238</v>
      </c>
      <c r="B143" s="2">
        <v>3</v>
      </c>
      <c r="C143" s="2"/>
      <c r="D143" s="2"/>
      <c r="E143" s="2"/>
      <c r="F143" s="2"/>
    </row>
    <row r="144" spans="1:6" x14ac:dyDescent="0.25">
      <c r="A144" s="3" t="s">
        <v>239</v>
      </c>
      <c r="B144" s="2">
        <v>5</v>
      </c>
      <c r="C144" s="2"/>
      <c r="D144" s="2"/>
      <c r="E144" s="2"/>
      <c r="F144" s="2"/>
    </row>
    <row r="145" spans="1:16" x14ac:dyDescent="0.25">
      <c r="A145" s="3"/>
      <c r="B145" s="2"/>
      <c r="C145" s="2"/>
      <c r="D145" s="2"/>
      <c r="E145" s="2"/>
      <c r="F145" s="2"/>
    </row>
    <row r="146" spans="1:16" x14ac:dyDescent="0.25">
      <c r="A146" s="3" t="s">
        <v>102</v>
      </c>
      <c r="B146" s="2"/>
      <c r="C146" s="2"/>
      <c r="D146" s="2"/>
      <c r="E146" s="2"/>
      <c r="F146" s="2"/>
    </row>
    <row r="148" spans="1:16" ht="18.75" x14ac:dyDescent="0.25">
      <c r="A148" s="1" t="s">
        <v>103</v>
      </c>
    </row>
    <row r="149" spans="1:16" x14ac:dyDescent="0.25">
      <c r="A149" t="s">
        <v>104</v>
      </c>
      <c r="B149" t="s">
        <v>42</v>
      </c>
      <c r="C149" t="s">
        <v>105</v>
      </c>
      <c r="D149" t="s">
        <v>123</v>
      </c>
      <c r="E149" t="s">
        <v>43</v>
      </c>
      <c r="F149" t="s">
        <v>105</v>
      </c>
      <c r="G149" t="s">
        <v>123</v>
      </c>
      <c r="H149" t="s">
        <v>44</v>
      </c>
      <c r="I149" t="s">
        <v>105</v>
      </c>
      <c r="J149" t="s">
        <v>123</v>
      </c>
      <c r="K149" t="s">
        <v>45</v>
      </c>
      <c r="L149" t="s">
        <v>105</v>
      </c>
      <c r="M149" t="s">
        <v>123</v>
      </c>
      <c r="N149" t="s">
        <v>106</v>
      </c>
      <c r="O149" t="s">
        <v>9</v>
      </c>
    </row>
    <row r="150" spans="1:16" x14ac:dyDescent="0.25">
      <c r="A150" s="3"/>
      <c r="B150" s="2">
        <v>1.7010000000000001</v>
      </c>
      <c r="C150" s="2">
        <v>9.6299999999999997E-2</v>
      </c>
      <c r="D150" s="2">
        <v>17.663399999999999</v>
      </c>
      <c r="E150" s="2">
        <v>0.20380000000000001</v>
      </c>
      <c r="F150" s="2">
        <v>0.12920000000000001</v>
      </c>
      <c r="G150" s="2">
        <v>1.5772999999999999</v>
      </c>
      <c r="H150" s="2">
        <v>0.12759999999999999</v>
      </c>
      <c r="I150" s="2">
        <v>0.1132</v>
      </c>
      <c r="J150" s="2">
        <v>1.1271</v>
      </c>
      <c r="K150" s="2">
        <v>-2.0324</v>
      </c>
      <c r="L150" s="2">
        <v>0.2029</v>
      </c>
      <c r="M150" s="2">
        <v>-10.019299999999999</v>
      </c>
      <c r="N150" s="2">
        <v>325.1576</v>
      </c>
      <c r="O150" s="4">
        <v>3.6000000000000002E-70</v>
      </c>
      <c r="P150" s="2"/>
    </row>
    <row r="151" spans="1:16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2"/>
    </row>
    <row r="152" spans="1:16" x14ac:dyDescent="0.25">
      <c r="A152" s="3" t="s">
        <v>107</v>
      </c>
      <c r="B152" s="2" t="s">
        <v>42</v>
      </c>
      <c r="C152" s="2" t="s">
        <v>105</v>
      </c>
      <c r="D152" s="2" t="s">
        <v>123</v>
      </c>
      <c r="E152" s="2" t="s">
        <v>43</v>
      </c>
      <c r="F152" s="2" t="s">
        <v>105</v>
      </c>
      <c r="G152" s="2" t="s">
        <v>123</v>
      </c>
      <c r="H152" s="2" t="s">
        <v>44</v>
      </c>
      <c r="I152" s="2" t="s">
        <v>105</v>
      </c>
      <c r="J152" s="2" t="s">
        <v>123</v>
      </c>
      <c r="K152" s="2" t="s">
        <v>45</v>
      </c>
      <c r="L152" s="2" t="s">
        <v>105</v>
      </c>
      <c r="M152" s="2" t="s">
        <v>123</v>
      </c>
      <c r="N152" s="2" t="s">
        <v>106</v>
      </c>
      <c r="O152" s="4" t="s">
        <v>9</v>
      </c>
      <c r="P152" s="2"/>
    </row>
    <row r="153" spans="1:16" x14ac:dyDescent="0.25">
      <c r="A153" s="2" t="s">
        <v>235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42.75" x14ac:dyDescent="0.25">
      <c r="A154" s="3" t="s">
        <v>236</v>
      </c>
      <c r="B154" s="3">
        <v>-9.7000000000000003E-2</v>
      </c>
      <c r="C154" s="3">
        <v>0.2155</v>
      </c>
      <c r="D154" s="3">
        <v>-0.4501</v>
      </c>
      <c r="E154" s="3">
        <v>-0.60050000000000003</v>
      </c>
      <c r="F154" s="3">
        <v>0.28370000000000001</v>
      </c>
      <c r="G154" s="3">
        <v>-2.1164999999999998</v>
      </c>
      <c r="H154" s="3">
        <v>-4.1300000000000003E-2</v>
      </c>
      <c r="I154" s="3">
        <v>0.24490000000000001</v>
      </c>
      <c r="J154" s="3">
        <v>-0.16880000000000001</v>
      </c>
      <c r="K154" s="3">
        <v>0.7389</v>
      </c>
      <c r="L154" s="3">
        <v>0.39500000000000002</v>
      </c>
      <c r="M154" s="3">
        <v>1.8704000000000001</v>
      </c>
      <c r="N154" s="3">
        <v>13.913399999999999</v>
      </c>
      <c r="O154" s="3">
        <v>0.13</v>
      </c>
      <c r="P154" s="2"/>
    </row>
    <row r="155" spans="1:16" ht="42.75" x14ac:dyDescent="0.25">
      <c r="A155" s="3" t="s">
        <v>237</v>
      </c>
      <c r="B155" s="2">
        <v>-0.1173</v>
      </c>
      <c r="C155" s="2">
        <v>0.13339999999999999</v>
      </c>
      <c r="D155" s="2">
        <v>-0.87919999999999998</v>
      </c>
      <c r="E155" s="2">
        <v>0.11700000000000001</v>
      </c>
      <c r="F155" s="2">
        <v>0.17180000000000001</v>
      </c>
      <c r="G155" s="2">
        <v>0.68120000000000003</v>
      </c>
      <c r="H155" s="2">
        <v>0.1449</v>
      </c>
      <c r="I155" s="2">
        <v>0.1603</v>
      </c>
      <c r="J155" s="2">
        <v>0.90410000000000001</v>
      </c>
      <c r="K155" s="2">
        <v>-0.1447</v>
      </c>
      <c r="L155" s="2">
        <v>0.31269999999999998</v>
      </c>
      <c r="M155" s="2">
        <v>-0.46260000000000001</v>
      </c>
      <c r="N155" s="2"/>
      <c r="O155" s="2"/>
      <c r="P155" s="2"/>
    </row>
    <row r="156" spans="1:16" x14ac:dyDescent="0.25">
      <c r="A156" s="3" t="s">
        <v>238</v>
      </c>
      <c r="B156" s="2">
        <v>0.24299999999999999</v>
      </c>
      <c r="C156" s="2">
        <v>0.1681</v>
      </c>
      <c r="D156" s="2">
        <v>1.4456</v>
      </c>
      <c r="E156" s="2">
        <v>0.52129999999999999</v>
      </c>
      <c r="F156" s="2">
        <v>0.24079999999999999</v>
      </c>
      <c r="G156" s="2">
        <v>2.1652</v>
      </c>
      <c r="H156" s="2">
        <v>-0.22939999999999999</v>
      </c>
      <c r="I156" s="2">
        <v>0.2056</v>
      </c>
      <c r="J156" s="2">
        <v>-1.1161000000000001</v>
      </c>
      <c r="K156" s="2">
        <v>-0.53480000000000005</v>
      </c>
      <c r="L156" s="2">
        <v>0.38319999999999999</v>
      </c>
      <c r="M156" s="2">
        <v>-1.3956</v>
      </c>
      <c r="N156" s="2"/>
      <c r="O156" s="4"/>
      <c r="P156" s="2"/>
    </row>
    <row r="157" spans="1:16" x14ac:dyDescent="0.25">
      <c r="A157" s="3" t="s">
        <v>239</v>
      </c>
      <c r="B157" s="2">
        <v>-2.87E-2</v>
      </c>
      <c r="C157" s="2">
        <v>0.13420000000000001</v>
      </c>
      <c r="D157" s="2">
        <v>-0.21390000000000001</v>
      </c>
      <c r="E157" s="2">
        <v>-3.78E-2</v>
      </c>
      <c r="F157" s="2">
        <v>0.1842</v>
      </c>
      <c r="G157" s="2">
        <v>-0.20499999999999999</v>
      </c>
      <c r="H157" s="2">
        <v>0.12590000000000001</v>
      </c>
      <c r="I157" s="2">
        <v>0.1661</v>
      </c>
      <c r="J157" s="2">
        <v>0.75770000000000004</v>
      </c>
      <c r="K157" s="2">
        <v>-5.9400000000000001E-2</v>
      </c>
      <c r="L157" s="2">
        <v>0.30259999999999998</v>
      </c>
      <c r="M157" s="2">
        <v>-0.1963</v>
      </c>
      <c r="N157" s="2"/>
      <c r="O157" s="2"/>
      <c r="P157" s="2"/>
    </row>
    <row r="158" spans="1:16" x14ac:dyDescent="0.25">
      <c r="A158" s="3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3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3" t="s">
        <v>108</v>
      </c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3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 t="s">
        <v>103</v>
      </c>
      <c r="B162" s="2"/>
      <c r="C162" s="2"/>
      <c r="D162" s="2" t="s">
        <v>106</v>
      </c>
      <c r="E162" s="2" t="s">
        <v>109</v>
      </c>
      <c r="F162" s="2" t="s">
        <v>9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t="s">
        <v>104</v>
      </c>
    </row>
    <row r="164" spans="1:16" ht="18.75" x14ac:dyDescent="0.25">
      <c r="A164" s="1" t="s">
        <v>110</v>
      </c>
      <c r="B164">
        <v>1</v>
      </c>
      <c r="C164">
        <v>2</v>
      </c>
      <c r="D164">
        <v>89.416300000000007</v>
      </c>
      <c r="E164">
        <v>1</v>
      </c>
      <c r="F164" s="25">
        <v>3.2000000000000002E-21</v>
      </c>
    </row>
    <row r="165" spans="1:16" x14ac:dyDescent="0.25">
      <c r="A165" t="s">
        <v>110</v>
      </c>
      <c r="B165">
        <v>1</v>
      </c>
      <c r="C165">
        <v>3</v>
      </c>
      <c r="D165">
        <v>150.9256</v>
      </c>
      <c r="E165">
        <v>1</v>
      </c>
      <c r="F165" s="25">
        <v>1.0999999999999999E-34</v>
      </c>
    </row>
    <row r="166" spans="1:16" x14ac:dyDescent="0.25">
      <c r="A166" s="3" t="s">
        <v>110</v>
      </c>
      <c r="B166" s="3">
        <v>1</v>
      </c>
      <c r="C166" s="3">
        <v>4</v>
      </c>
      <c r="D166" s="3">
        <v>184.47409999999999</v>
      </c>
      <c r="E166" s="3">
        <v>1</v>
      </c>
      <c r="F166" s="5">
        <v>5.1E-42</v>
      </c>
    </row>
    <row r="167" spans="1:16" x14ac:dyDescent="0.25">
      <c r="A167" s="3" t="s">
        <v>110</v>
      </c>
      <c r="B167" s="2">
        <v>2</v>
      </c>
      <c r="C167" s="2">
        <v>3</v>
      </c>
      <c r="D167" s="2">
        <v>0.1719</v>
      </c>
      <c r="E167" s="2">
        <v>1</v>
      </c>
      <c r="F167" s="2">
        <v>0.68</v>
      </c>
    </row>
    <row r="168" spans="1:16" x14ac:dyDescent="0.25">
      <c r="A168" s="3" t="s">
        <v>110</v>
      </c>
      <c r="B168" s="3">
        <v>2</v>
      </c>
      <c r="C168" s="3">
        <v>4</v>
      </c>
      <c r="D168" s="2">
        <v>56.894799999999996</v>
      </c>
      <c r="E168" s="2">
        <v>1</v>
      </c>
      <c r="F168" s="4">
        <v>4.6E-14</v>
      </c>
    </row>
    <row r="169" spans="1:16" x14ac:dyDescent="0.25">
      <c r="A169" s="3" t="s">
        <v>110</v>
      </c>
      <c r="B169" s="3">
        <v>3</v>
      </c>
      <c r="C169" s="3">
        <v>4</v>
      </c>
      <c r="D169" s="2">
        <v>57.547499999999999</v>
      </c>
      <c r="E169" s="2">
        <v>1</v>
      </c>
      <c r="F169" s="4">
        <v>3.2999999999999998E-14</v>
      </c>
    </row>
    <row r="170" spans="1:16" x14ac:dyDescent="0.25">
      <c r="A170" s="3" t="s">
        <v>235</v>
      </c>
      <c r="B170" s="3"/>
      <c r="C170" s="3"/>
      <c r="D170" s="2"/>
      <c r="E170" s="2"/>
      <c r="F170" s="4"/>
    </row>
    <row r="171" spans="1:16" x14ac:dyDescent="0.25">
      <c r="A171" s="3" t="s">
        <v>110</v>
      </c>
      <c r="B171" s="3">
        <v>1</v>
      </c>
      <c r="C171" s="3">
        <v>2</v>
      </c>
      <c r="D171" s="2">
        <v>2.8435000000000001</v>
      </c>
      <c r="E171" s="2">
        <v>3</v>
      </c>
      <c r="F171" s="4">
        <v>0.42</v>
      </c>
    </row>
    <row r="172" spans="1:16" x14ac:dyDescent="0.25">
      <c r="A172" s="3" t="s">
        <v>110</v>
      </c>
      <c r="B172" s="3">
        <v>1</v>
      </c>
      <c r="C172" s="3">
        <v>3</v>
      </c>
      <c r="D172" s="2">
        <v>6.9565999999999999</v>
      </c>
      <c r="E172" s="2">
        <v>3</v>
      </c>
      <c r="F172" s="2">
        <v>7.2999999999999995E-2</v>
      </c>
    </row>
    <row r="173" spans="1:16" x14ac:dyDescent="0.25">
      <c r="A173" s="3" t="s">
        <v>110</v>
      </c>
      <c r="B173" s="3">
        <v>1</v>
      </c>
      <c r="C173" s="3">
        <v>4</v>
      </c>
      <c r="D173" s="2">
        <v>3.1541999999999999</v>
      </c>
      <c r="E173" s="2">
        <v>3</v>
      </c>
      <c r="F173" s="4">
        <v>0.37</v>
      </c>
    </row>
    <row r="174" spans="1:16" x14ac:dyDescent="0.25">
      <c r="A174" s="3" t="s">
        <v>110</v>
      </c>
      <c r="B174" s="2">
        <v>2</v>
      </c>
      <c r="C174" s="2">
        <v>3</v>
      </c>
      <c r="D174" s="2">
        <v>5.1734</v>
      </c>
      <c r="E174" s="2">
        <v>3</v>
      </c>
      <c r="F174" s="2">
        <v>0.16</v>
      </c>
    </row>
    <row r="175" spans="1:16" x14ac:dyDescent="0.25">
      <c r="A175" s="3" t="s">
        <v>110</v>
      </c>
      <c r="B175" s="3">
        <v>2</v>
      </c>
      <c r="C175" s="3">
        <v>4</v>
      </c>
      <c r="D175" s="2">
        <v>6.0994999999999999</v>
      </c>
      <c r="E175" s="2">
        <v>3</v>
      </c>
      <c r="F175" s="4">
        <v>0.11</v>
      </c>
    </row>
    <row r="176" spans="1:16" x14ac:dyDescent="0.25">
      <c r="A176" s="3" t="s">
        <v>110</v>
      </c>
      <c r="B176" s="3">
        <v>3</v>
      </c>
      <c r="C176" s="3">
        <v>4</v>
      </c>
      <c r="D176" s="2">
        <v>1.9657</v>
      </c>
      <c r="E176" s="2">
        <v>3</v>
      </c>
      <c r="F176" s="2">
        <v>0.57999999999999996</v>
      </c>
    </row>
    <row r="177" spans="1:9" x14ac:dyDescent="0.25">
      <c r="A177" s="3"/>
      <c r="B177" s="3"/>
      <c r="C177" s="3"/>
      <c r="D177" s="2"/>
      <c r="E177" s="2"/>
      <c r="F177" s="4"/>
    </row>
    <row r="178" spans="1:9" x14ac:dyDescent="0.25">
      <c r="A178" s="3" t="s">
        <v>111</v>
      </c>
      <c r="B178" s="3"/>
      <c r="C178" s="3"/>
      <c r="D178" s="2"/>
      <c r="E178" s="2"/>
      <c r="F178" s="4"/>
    </row>
    <row r="179" spans="1:9" x14ac:dyDescent="0.25">
      <c r="A179" s="3"/>
      <c r="B179" s="3"/>
      <c r="C179" s="3"/>
      <c r="D179" s="2"/>
      <c r="E179" s="2"/>
      <c r="F179" s="4"/>
    </row>
    <row r="180" spans="1:9" x14ac:dyDescent="0.25">
      <c r="A180" s="3"/>
      <c r="B180" s="3" t="s">
        <v>42</v>
      </c>
      <c r="C180" s="3" t="s">
        <v>105</v>
      </c>
      <c r="D180" s="2" t="s">
        <v>43</v>
      </c>
      <c r="E180" s="2" t="s">
        <v>105</v>
      </c>
      <c r="F180" s="4" t="s">
        <v>44</v>
      </c>
      <c r="G180" t="s">
        <v>105</v>
      </c>
      <c r="H180" t="s">
        <v>45</v>
      </c>
      <c r="I180" t="s">
        <v>105</v>
      </c>
    </row>
    <row r="181" spans="1:9" x14ac:dyDescent="0.25">
      <c r="A181" t="s">
        <v>112</v>
      </c>
      <c r="B181">
        <v>0.65710000000000002</v>
      </c>
      <c r="C181">
        <v>1.9099999999999999E-2</v>
      </c>
      <c r="D181">
        <v>0.16800000000000001</v>
      </c>
      <c r="E181">
        <v>1.6299999999999999E-2</v>
      </c>
      <c r="F181">
        <v>0.16</v>
      </c>
      <c r="G181">
        <v>1.4E-2</v>
      </c>
      <c r="H181">
        <v>1.49E-2</v>
      </c>
      <c r="I181">
        <v>4.1999999999999997E-3</v>
      </c>
    </row>
    <row r="182" spans="1:9" ht="18.75" x14ac:dyDescent="0.25">
      <c r="A182" s="1" t="s">
        <v>107</v>
      </c>
    </row>
    <row r="183" spans="1:9" x14ac:dyDescent="0.25">
      <c r="A183" t="s">
        <v>235</v>
      </c>
    </row>
    <row r="184" spans="1:9" ht="30" x14ac:dyDescent="0.25">
      <c r="A184" s="2" t="s">
        <v>236</v>
      </c>
      <c r="B184" s="3">
        <v>2.01E-2</v>
      </c>
      <c r="C184" s="3" t="s">
        <v>11</v>
      </c>
      <c r="D184" s="3">
        <v>1.06E-2</v>
      </c>
      <c r="E184" s="3" t="s">
        <v>11</v>
      </c>
      <c r="F184" s="3">
        <v>1.8100000000000002E-2</v>
      </c>
      <c r="G184" s="3" t="s">
        <v>11</v>
      </c>
      <c r="H184" s="3">
        <v>4.8899999999999999E-2</v>
      </c>
      <c r="I184" s="3" t="s">
        <v>11</v>
      </c>
    </row>
    <row r="185" spans="1:9" ht="42.75" x14ac:dyDescent="0.25">
      <c r="A185" s="3" t="s">
        <v>237</v>
      </c>
      <c r="B185" s="2">
        <v>0.46739999999999998</v>
      </c>
      <c r="C185" s="2" t="s">
        <v>11</v>
      </c>
      <c r="D185" s="2">
        <v>0.5171</v>
      </c>
      <c r="E185" s="2" t="s">
        <v>11</v>
      </c>
      <c r="F185" s="2">
        <v>0.51719999999999999</v>
      </c>
      <c r="G185" s="2" t="s">
        <v>11</v>
      </c>
      <c r="H185" s="2">
        <v>0.47920000000000001</v>
      </c>
      <c r="I185" s="2" t="s">
        <v>11</v>
      </c>
    </row>
    <row r="186" spans="1:9" x14ac:dyDescent="0.25">
      <c r="A186" s="3" t="s">
        <v>238</v>
      </c>
      <c r="B186" s="2">
        <v>9.6199999999999994E-2</v>
      </c>
      <c r="C186" s="2" t="s">
        <v>11</v>
      </c>
      <c r="D186" s="2">
        <v>0.11119999999999999</v>
      </c>
      <c r="E186" s="2" t="s">
        <v>11</v>
      </c>
      <c r="F186" s="2">
        <v>5.11E-2</v>
      </c>
      <c r="G186" s="2" t="s">
        <v>11</v>
      </c>
      <c r="H186" s="2">
        <v>4.6600000000000003E-2</v>
      </c>
      <c r="I186" s="2" t="s">
        <v>11</v>
      </c>
    </row>
    <row r="187" spans="1:9" x14ac:dyDescent="0.25">
      <c r="A187" s="3" t="s">
        <v>239</v>
      </c>
      <c r="B187" s="2">
        <v>0.4163</v>
      </c>
      <c r="C187" s="2" t="s">
        <v>11</v>
      </c>
      <c r="D187" s="2">
        <v>0.36099999999999999</v>
      </c>
      <c r="E187" s="2" t="s">
        <v>11</v>
      </c>
      <c r="F187" s="2">
        <v>0.41360000000000002</v>
      </c>
      <c r="G187" s="2" t="s">
        <v>11</v>
      </c>
      <c r="H187" s="2">
        <v>0.42530000000000001</v>
      </c>
      <c r="I187" s="2" t="s">
        <v>11</v>
      </c>
    </row>
    <row r="188" spans="1:9" x14ac:dyDescent="0.25">
      <c r="A188" s="3"/>
      <c r="B188" s="2"/>
      <c r="C188" s="2"/>
      <c r="D188" s="2"/>
      <c r="E188" s="2"/>
      <c r="F188" s="2"/>
      <c r="G188" s="2"/>
      <c r="H188" s="2"/>
      <c r="I188" s="2"/>
    </row>
    <row r="189" spans="1:9" x14ac:dyDescent="0.25">
      <c r="A189" s="3" t="s">
        <v>113</v>
      </c>
      <c r="B189" s="2"/>
      <c r="C189" s="2"/>
      <c r="D189" s="2"/>
      <c r="E189" s="2"/>
      <c r="F189" s="2"/>
      <c r="G189" s="2"/>
      <c r="H189" s="2"/>
      <c r="I189" s="2"/>
    </row>
    <row r="190" spans="1:9" x14ac:dyDescent="0.25">
      <c r="A190" s="3"/>
      <c r="B190" s="2"/>
      <c r="C190" s="2"/>
      <c r="D190" s="2"/>
      <c r="E190" s="2"/>
      <c r="F190" s="2"/>
      <c r="G190" s="2"/>
      <c r="H190" s="2"/>
      <c r="I190" s="2"/>
    </row>
    <row r="191" spans="1:9" x14ac:dyDescent="0.25">
      <c r="A191" s="3"/>
      <c r="B191" s="2" t="s">
        <v>42</v>
      </c>
      <c r="C191" s="2" t="s">
        <v>43</v>
      </c>
      <c r="D191" s="2" t="s">
        <v>44</v>
      </c>
      <c r="E191" s="2" t="s">
        <v>45</v>
      </c>
      <c r="F191" s="2"/>
      <c r="G191" s="2"/>
      <c r="H191" s="2"/>
      <c r="I191" s="2"/>
    </row>
    <row r="192" spans="1:9" x14ac:dyDescent="0.25">
      <c r="A192" s="3" t="s">
        <v>114</v>
      </c>
      <c r="B192" s="2">
        <v>0.65710000000000002</v>
      </c>
      <c r="C192" s="2">
        <v>0.16800000000000001</v>
      </c>
      <c r="D192" s="2">
        <v>0.16</v>
      </c>
      <c r="E192" s="2">
        <v>1.49E-2</v>
      </c>
      <c r="F192" s="2"/>
      <c r="G192" s="2"/>
      <c r="H192" s="2"/>
      <c r="I192" s="2"/>
    </row>
    <row r="193" spans="1:9" x14ac:dyDescent="0.25">
      <c r="A193" s="3" t="s">
        <v>107</v>
      </c>
      <c r="B193" s="2"/>
      <c r="C193" s="2"/>
      <c r="D193" s="2"/>
      <c r="E193" s="2"/>
      <c r="F193" s="2"/>
      <c r="G193" s="2"/>
      <c r="H193" s="2"/>
      <c r="I193" s="2"/>
    </row>
    <row r="194" spans="1:9" x14ac:dyDescent="0.25">
      <c r="A194" t="s">
        <v>235</v>
      </c>
    </row>
    <row r="195" spans="1:9" ht="56.25" x14ac:dyDescent="0.25">
      <c r="A195" s="1" t="s">
        <v>236</v>
      </c>
      <c r="B195">
        <v>0.70940000000000003</v>
      </c>
      <c r="C195">
        <v>9.5899999999999999E-2</v>
      </c>
      <c r="D195">
        <v>0.1555</v>
      </c>
      <c r="E195">
        <v>3.9100000000000003E-2</v>
      </c>
    </row>
    <row r="196" spans="1:9" x14ac:dyDescent="0.25">
      <c r="A196" t="s">
        <v>237</v>
      </c>
      <c r="B196">
        <v>0.63470000000000004</v>
      </c>
      <c r="C196">
        <v>0.17949999999999999</v>
      </c>
      <c r="D196">
        <v>0.17100000000000001</v>
      </c>
      <c r="E196">
        <v>1.4800000000000001E-2</v>
      </c>
    </row>
    <row r="197" spans="1:9" x14ac:dyDescent="0.25">
      <c r="A197" s="2" t="s">
        <v>238</v>
      </c>
      <c r="B197" s="3">
        <v>0.69650000000000001</v>
      </c>
      <c r="C197" s="3">
        <v>0.20580000000000001</v>
      </c>
      <c r="D197" s="3">
        <v>0.09</v>
      </c>
      <c r="E197" s="3">
        <v>7.7000000000000002E-3</v>
      </c>
    </row>
    <row r="198" spans="1:9" x14ac:dyDescent="0.25">
      <c r="A198" s="3" t="s">
        <v>239</v>
      </c>
      <c r="B198" s="2">
        <v>0.67249999999999999</v>
      </c>
      <c r="C198" s="2">
        <v>0.14910000000000001</v>
      </c>
      <c r="D198" s="2">
        <v>0.1628</v>
      </c>
      <c r="E198" s="2">
        <v>1.5599999999999999E-2</v>
      </c>
    </row>
    <row r="199" spans="1:9" x14ac:dyDescent="0.25">
      <c r="A199" s="3"/>
      <c r="B199" s="2"/>
      <c r="C199" s="2"/>
      <c r="D199" s="2"/>
      <c r="E199" s="2"/>
    </row>
    <row r="200" spans="1:9" x14ac:dyDescent="0.25">
      <c r="A200" s="3" t="s">
        <v>115</v>
      </c>
      <c r="B200" s="2"/>
      <c r="C200" s="2"/>
      <c r="D200" s="2"/>
      <c r="E200" s="2"/>
    </row>
    <row r="201" spans="1:9" x14ac:dyDescent="0.25">
      <c r="A201" s="3"/>
      <c r="B201" s="2"/>
      <c r="C201" s="2"/>
      <c r="D201" s="2"/>
      <c r="E201" s="2"/>
    </row>
    <row r="202" spans="1:9" x14ac:dyDescent="0.25">
      <c r="A202" s="3"/>
      <c r="B202" s="22" t="s">
        <v>110</v>
      </c>
      <c r="C202" s="23"/>
      <c r="D202" s="23"/>
      <c r="E202" s="23"/>
    </row>
    <row r="203" spans="1:9" x14ac:dyDescent="0.25">
      <c r="A203" s="3" t="s">
        <v>235</v>
      </c>
      <c r="B203" s="2">
        <v>1</v>
      </c>
      <c r="C203" s="2" t="s">
        <v>105</v>
      </c>
      <c r="D203" s="2">
        <v>2</v>
      </c>
      <c r="E203" s="2" t="s">
        <v>105</v>
      </c>
      <c r="F203">
        <v>3</v>
      </c>
      <c r="G203" t="s">
        <v>105</v>
      </c>
      <c r="H203">
        <v>4</v>
      </c>
      <c r="I203" t="s">
        <v>105</v>
      </c>
    </row>
    <row r="204" spans="1:9" ht="42.75" x14ac:dyDescent="0.25">
      <c r="A204" s="3" t="s">
        <v>236</v>
      </c>
      <c r="B204" s="2">
        <v>0.70940000000000003</v>
      </c>
      <c r="C204" s="2">
        <v>6.7199999999999996E-2</v>
      </c>
      <c r="D204" s="2">
        <v>9.5899999999999999E-2</v>
      </c>
      <c r="E204" s="2">
        <v>3.9399999999999998E-2</v>
      </c>
      <c r="F204">
        <v>0.1555</v>
      </c>
      <c r="G204">
        <v>4.9000000000000002E-2</v>
      </c>
      <c r="H204">
        <v>3.9100000000000003E-2</v>
      </c>
      <c r="I204">
        <v>2.4500000000000001E-2</v>
      </c>
    </row>
    <row r="205" spans="1:9" ht="42.75" x14ac:dyDescent="0.25">
      <c r="A205" s="3" t="s">
        <v>237</v>
      </c>
      <c r="B205" s="2">
        <v>0.63470000000000004</v>
      </c>
      <c r="C205" s="2">
        <v>2.7699999999999999E-2</v>
      </c>
      <c r="D205" s="2">
        <v>0.17949999999999999</v>
      </c>
      <c r="E205" s="2">
        <v>2.3800000000000002E-2</v>
      </c>
      <c r="F205">
        <v>0.17100000000000001</v>
      </c>
      <c r="G205">
        <v>2.0899999999999998E-2</v>
      </c>
      <c r="H205">
        <v>1.4800000000000001E-2</v>
      </c>
      <c r="I205">
        <v>6.4999999999999997E-3</v>
      </c>
    </row>
    <row r="206" spans="1:9" x14ac:dyDescent="0.25">
      <c r="A206" s="3" t="s">
        <v>238</v>
      </c>
      <c r="B206" s="2">
        <v>0.69650000000000001</v>
      </c>
      <c r="C206" s="2">
        <v>5.2499999999999998E-2</v>
      </c>
      <c r="D206" s="2">
        <v>0.20580000000000001</v>
      </c>
      <c r="E206" s="2">
        <v>5.4800000000000001E-2</v>
      </c>
      <c r="F206">
        <v>0.09</v>
      </c>
      <c r="G206">
        <v>1.9900000000000001E-2</v>
      </c>
      <c r="H206">
        <v>7.7000000000000002E-3</v>
      </c>
      <c r="I206">
        <v>4.5999999999999999E-3</v>
      </c>
    </row>
    <row r="207" spans="1:9" x14ac:dyDescent="0.25">
      <c r="A207" t="s">
        <v>239</v>
      </c>
      <c r="B207">
        <v>0.67249999999999999</v>
      </c>
      <c r="C207">
        <v>3.1099999999999999E-2</v>
      </c>
      <c r="D207">
        <v>0.14910000000000001</v>
      </c>
      <c r="E207">
        <v>2.6100000000000002E-2</v>
      </c>
      <c r="F207">
        <v>0.1628</v>
      </c>
      <c r="G207">
        <v>2.4E-2</v>
      </c>
      <c r="H207">
        <v>1.5599999999999999E-2</v>
      </c>
      <c r="I207">
        <v>6.4000000000000003E-3</v>
      </c>
    </row>
    <row r="208" spans="1:9" ht="18.75" x14ac:dyDescent="0.25">
      <c r="A208" s="1"/>
    </row>
    <row r="209" spans="1:9" x14ac:dyDescent="0.25">
      <c r="B209" t="s">
        <v>116</v>
      </c>
    </row>
    <row r="210" spans="1:9" x14ac:dyDescent="0.25">
      <c r="A210" s="2" t="s">
        <v>110</v>
      </c>
      <c r="B210" s="19" t="s">
        <v>88</v>
      </c>
      <c r="C210" s="20" t="s">
        <v>105</v>
      </c>
      <c r="D210" s="20" t="s">
        <v>90</v>
      </c>
      <c r="E210" s="20" t="s">
        <v>105</v>
      </c>
      <c r="F210" s="20" t="s">
        <v>91</v>
      </c>
      <c r="G210" s="20" t="s">
        <v>105</v>
      </c>
      <c r="H210" s="20" t="s">
        <v>92</v>
      </c>
      <c r="I210" s="21" t="s">
        <v>105</v>
      </c>
    </row>
    <row r="211" spans="1:9" x14ac:dyDescent="0.25">
      <c r="A211" s="3">
        <v>1</v>
      </c>
      <c r="B211" s="3">
        <v>0.95309999999999995</v>
      </c>
      <c r="C211" s="3" t="s">
        <v>11</v>
      </c>
      <c r="D211" s="3">
        <v>3.7199999999999997E-2</v>
      </c>
      <c r="E211" s="3" t="s">
        <v>11</v>
      </c>
      <c r="F211" s="3">
        <v>9.1999999999999998E-3</v>
      </c>
      <c r="G211" s="3" t="s">
        <v>11</v>
      </c>
      <c r="H211" s="3">
        <v>5.0000000000000001E-4</v>
      </c>
      <c r="I211" s="3" t="s">
        <v>11</v>
      </c>
    </row>
    <row r="212" spans="1:9" x14ac:dyDescent="0.25">
      <c r="A212" s="3">
        <v>2</v>
      </c>
      <c r="B212" s="2">
        <v>0.14549999999999999</v>
      </c>
      <c r="C212" s="2" t="s">
        <v>11</v>
      </c>
      <c r="D212" s="2">
        <v>0.80359999999999998</v>
      </c>
      <c r="E212" s="2" t="s">
        <v>11</v>
      </c>
      <c r="F212" s="2">
        <v>5.0799999999999998E-2</v>
      </c>
      <c r="G212" s="2" t="s">
        <v>11</v>
      </c>
      <c r="H212" s="2">
        <v>2.0000000000000001E-4</v>
      </c>
      <c r="I212" s="2" t="s">
        <v>11</v>
      </c>
    </row>
    <row r="213" spans="1:9" x14ac:dyDescent="0.25">
      <c r="A213" s="3">
        <v>3</v>
      </c>
      <c r="B213" s="2">
        <v>3.7900000000000003E-2</v>
      </c>
      <c r="C213" s="2" t="s">
        <v>11</v>
      </c>
      <c r="D213" s="2">
        <v>5.33E-2</v>
      </c>
      <c r="E213" s="2" t="s">
        <v>11</v>
      </c>
      <c r="F213" s="2">
        <v>0.90580000000000005</v>
      </c>
      <c r="G213" s="2" t="s">
        <v>11</v>
      </c>
      <c r="H213" s="2">
        <v>3.0000000000000001E-3</v>
      </c>
      <c r="I213" s="2" t="s">
        <v>11</v>
      </c>
    </row>
    <row r="214" spans="1:9" x14ac:dyDescent="0.25">
      <c r="A214" s="3">
        <v>4</v>
      </c>
      <c r="B214" s="2">
        <v>2.1299999999999999E-2</v>
      </c>
      <c r="C214" s="2" t="s">
        <v>11</v>
      </c>
      <c r="D214" s="2">
        <v>2.0999999999999999E-3</v>
      </c>
      <c r="E214" s="2" t="s">
        <v>11</v>
      </c>
      <c r="F214" s="2">
        <v>3.2000000000000001E-2</v>
      </c>
      <c r="G214" s="2" t="s">
        <v>11</v>
      </c>
      <c r="H214" s="2">
        <v>0.9446</v>
      </c>
      <c r="I214" s="2" t="s">
        <v>11</v>
      </c>
    </row>
    <row r="215" spans="1:9" x14ac:dyDescent="0.25">
      <c r="A215" s="3"/>
      <c r="B215" s="2"/>
      <c r="C215" s="2"/>
      <c r="D215" s="2"/>
      <c r="E215" s="2"/>
      <c r="F215" s="2"/>
      <c r="G215" s="2"/>
      <c r="H215" s="2"/>
      <c r="I215" s="2"/>
    </row>
    <row r="216" spans="1:9" x14ac:dyDescent="0.25">
      <c r="A216" s="3"/>
      <c r="B216" s="2"/>
      <c r="C216" s="2"/>
      <c r="D216" s="2"/>
      <c r="E216" s="2"/>
      <c r="F216" s="2"/>
      <c r="G216" s="2"/>
      <c r="H216" s="2"/>
      <c r="I216" s="2"/>
    </row>
    <row r="217" spans="1:9" x14ac:dyDescent="0.25">
      <c r="A217" s="3"/>
      <c r="B217" s="2"/>
      <c r="C217" s="2"/>
      <c r="D217" s="2"/>
      <c r="E217" s="2"/>
      <c r="F217" s="2"/>
      <c r="G217" s="2"/>
      <c r="H217" s="2"/>
      <c r="I217" s="2"/>
    </row>
    <row r="218" spans="1:9" x14ac:dyDescent="0.25">
      <c r="A218" s="38"/>
      <c r="B218" s="39"/>
      <c r="C218" s="39"/>
      <c r="D218" s="39"/>
      <c r="E218" s="39"/>
      <c r="F218" s="39"/>
      <c r="G218" s="39"/>
      <c r="H218" s="39"/>
      <c r="I218" s="40"/>
    </row>
    <row r="219" spans="1:9" x14ac:dyDescent="0.25">
      <c r="A219" s="2"/>
      <c r="B219" s="35"/>
      <c r="C219" s="36"/>
      <c r="D219" s="36"/>
      <c r="E219" s="36"/>
      <c r="F219" s="36"/>
      <c r="G219" s="36"/>
      <c r="H219" s="36"/>
      <c r="I219" s="37"/>
    </row>
    <row r="220" spans="1:9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x14ac:dyDescent="0.25">
      <c r="A221" s="3"/>
      <c r="B221" s="2"/>
      <c r="C221" s="2"/>
      <c r="D221" s="2"/>
      <c r="E221" s="2"/>
      <c r="F221" s="2"/>
      <c r="G221" s="2"/>
      <c r="H221" s="2"/>
      <c r="I221" s="2"/>
    </row>
    <row r="222" spans="1:9" x14ac:dyDescent="0.25">
      <c r="A222" s="3"/>
      <c r="B222" s="2"/>
      <c r="C222" s="2"/>
      <c r="D222" s="2"/>
      <c r="E222" s="2"/>
      <c r="F222" s="2"/>
      <c r="G222" s="2"/>
      <c r="H222" s="2"/>
      <c r="I222" s="2"/>
    </row>
    <row r="223" spans="1:9" x14ac:dyDescent="0.25">
      <c r="A223" s="3"/>
      <c r="B223" s="2"/>
      <c r="C223" s="2"/>
      <c r="D223" s="2"/>
      <c r="E223" s="2"/>
      <c r="F223" s="2"/>
      <c r="G223" s="2"/>
      <c r="H223" s="2"/>
      <c r="I223" s="2"/>
    </row>
    <row r="224" spans="1:9" x14ac:dyDescent="0.25">
      <c r="A224" s="3"/>
      <c r="B224" s="2"/>
      <c r="C224" s="2"/>
      <c r="D224" s="2"/>
      <c r="E224" s="2"/>
      <c r="F224" s="2"/>
      <c r="G224" s="2"/>
      <c r="H224" s="2"/>
      <c r="I224" s="2"/>
    </row>
  </sheetData>
  <mergeCells count="2">
    <mergeCell ref="A218:I218"/>
    <mergeCell ref="B219:I219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P204"/>
  <sheetViews>
    <sheetView workbookViewId="0"/>
  </sheetViews>
  <sheetFormatPr defaultRowHeight="15" x14ac:dyDescent="0.25"/>
  <cols>
    <col min="1" max="4" width="30.7109375" customWidth="1"/>
  </cols>
  <sheetData>
    <row r="1" spans="1:6" ht="37.5" x14ac:dyDescent="0.25">
      <c r="A1" s="1" t="s">
        <v>233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13400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11.1614</v>
      </c>
      <c r="C7" s="2"/>
      <c r="D7" s="2"/>
      <c r="E7" s="2"/>
      <c r="F7" s="2"/>
    </row>
    <row r="8" spans="1:6" x14ac:dyDescent="0.25">
      <c r="A8" s="3" t="s">
        <v>4</v>
      </c>
      <c r="B8" s="2">
        <v>11.1614</v>
      </c>
      <c r="C8" s="2"/>
      <c r="D8" s="2"/>
      <c r="E8" s="2"/>
      <c r="F8" s="2"/>
    </row>
    <row r="9" spans="1:6" x14ac:dyDescent="0.25">
      <c r="A9" s="3" t="s">
        <v>5</v>
      </c>
      <c r="B9" s="2">
        <v>343997</v>
      </c>
      <c r="C9" s="2"/>
      <c r="D9" s="2"/>
      <c r="E9" s="2"/>
      <c r="F9" s="2"/>
    </row>
    <row r="10" spans="1:6" x14ac:dyDescent="0.25">
      <c r="A10" s="3" t="s">
        <v>6</v>
      </c>
      <c r="B10" s="2">
        <v>343997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-12503.200699999999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-12503.200699999999</v>
      </c>
      <c r="C27" s="2"/>
      <c r="D27" s="2"/>
      <c r="E27" s="2"/>
      <c r="F27" s="2"/>
    </row>
    <row r="28" spans="1:6" x14ac:dyDescent="0.25">
      <c r="A28" s="3" t="s">
        <v>24</v>
      </c>
      <c r="B28" s="2">
        <v>25063.4195</v>
      </c>
      <c r="C28" s="2"/>
      <c r="D28" s="2"/>
      <c r="E28" s="2"/>
      <c r="F28" s="2"/>
    </row>
    <row r="29" spans="1:6" x14ac:dyDescent="0.25">
      <c r="A29" s="3" t="s">
        <v>25</v>
      </c>
      <c r="B29" s="2">
        <v>25018.4015</v>
      </c>
      <c r="C29" s="2"/>
      <c r="D29" s="2"/>
      <c r="E29" s="2"/>
      <c r="F29" s="2"/>
    </row>
    <row r="30" spans="1:6" x14ac:dyDescent="0.25">
      <c r="A30" s="3" t="s">
        <v>26</v>
      </c>
      <c r="B30" s="2">
        <v>25024.4015</v>
      </c>
      <c r="C30" s="2"/>
      <c r="D30" s="2"/>
      <c r="E30" s="2"/>
      <c r="F30" s="2"/>
    </row>
    <row r="31" spans="1:6" x14ac:dyDescent="0.25">
      <c r="A31" s="3" t="s">
        <v>27</v>
      </c>
      <c r="B31" s="2">
        <v>25069.4195</v>
      </c>
      <c r="C31" s="2"/>
      <c r="D31" s="2"/>
      <c r="E31" s="2"/>
      <c r="F31" s="2"/>
    </row>
    <row r="32" spans="1:6" x14ac:dyDescent="0.25">
      <c r="A32" s="3" t="s">
        <v>28</v>
      </c>
      <c r="B32" s="2">
        <v>25044.3521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0.34279999999999999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2.8E-3</v>
      </c>
      <c r="C38" s="2"/>
      <c r="D38" s="2"/>
      <c r="E38" s="2"/>
      <c r="F38" s="2"/>
    </row>
    <row r="39" spans="1:6" x14ac:dyDescent="0.25">
      <c r="A39" s="3" t="s">
        <v>33</v>
      </c>
      <c r="B39" s="2">
        <v>1.6000000000000001E-3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-24997.608700000001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12494.407999999999</v>
      </c>
      <c r="C41" s="2"/>
      <c r="D41" s="2"/>
      <c r="E41" s="2"/>
      <c r="F41" s="2"/>
    </row>
    <row r="42" spans="1:6" x14ac:dyDescent="0.25">
      <c r="A42" s="3" t="s">
        <v>36</v>
      </c>
      <c r="B42" s="2">
        <v>49995.217400000001</v>
      </c>
      <c r="C42" s="2"/>
      <c r="D42" s="2"/>
      <c r="E42" s="2"/>
      <c r="F42" s="2"/>
    </row>
    <row r="43" spans="1:6" x14ac:dyDescent="0.25">
      <c r="A43" s="3" t="s">
        <v>37</v>
      </c>
      <c r="B43" s="2">
        <v>50127.253499999999</v>
      </c>
      <c r="C43" s="2"/>
      <c r="D43" s="2"/>
      <c r="E43" s="2"/>
      <c r="F43" s="2"/>
    </row>
    <row r="44" spans="1:6" x14ac:dyDescent="0.25">
      <c r="A44" s="3" t="s">
        <v>38</v>
      </c>
      <c r="B44" s="2">
        <v>50052.235500000003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8806.5157999999992</v>
      </c>
      <c r="C48" s="2">
        <v>0</v>
      </c>
      <c r="D48" s="2">
        <v>0</v>
      </c>
      <c r="E48" s="2">
        <v>0</v>
      </c>
      <c r="F48" s="2">
        <v>8806.5157999999992</v>
      </c>
    </row>
    <row r="49" spans="1:6" x14ac:dyDescent="0.25">
      <c r="A49" s="3" t="s">
        <v>43</v>
      </c>
      <c r="B49" s="2">
        <v>2225.1707999999999</v>
      </c>
      <c r="C49" s="2">
        <v>0</v>
      </c>
      <c r="D49" s="2">
        <v>0</v>
      </c>
      <c r="E49" s="2">
        <v>0</v>
      </c>
      <c r="F49" s="2">
        <v>2225.1707999999999</v>
      </c>
    </row>
    <row r="50" spans="1:6" x14ac:dyDescent="0.25">
      <c r="A50" s="3" t="s">
        <v>44</v>
      </c>
      <c r="B50" s="2">
        <v>2147.8040999999998</v>
      </c>
      <c r="C50" s="2">
        <v>0</v>
      </c>
      <c r="D50" s="2">
        <v>0</v>
      </c>
      <c r="E50" s="2">
        <v>0</v>
      </c>
      <c r="F50" s="2">
        <v>2147.8040999999998</v>
      </c>
    </row>
    <row r="51" spans="1:6" x14ac:dyDescent="0.25">
      <c r="A51" s="3" t="s">
        <v>45</v>
      </c>
      <c r="B51" s="2">
        <v>220.5093</v>
      </c>
      <c r="C51" s="2">
        <v>0</v>
      </c>
      <c r="D51" s="2">
        <v>0</v>
      </c>
      <c r="E51" s="2">
        <v>0</v>
      </c>
      <c r="F51" s="2">
        <v>220.5093</v>
      </c>
    </row>
    <row r="52" spans="1:6" x14ac:dyDescent="0.25">
      <c r="A52" s="3" t="s">
        <v>46</v>
      </c>
      <c r="B52" s="2">
        <v>13400</v>
      </c>
      <c r="C52" s="2">
        <v>0</v>
      </c>
      <c r="D52" s="2">
        <v>0</v>
      </c>
      <c r="E52" s="2">
        <v>0</v>
      </c>
      <c r="F52" s="2">
        <v>13400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5789.6621999999998</v>
      </c>
      <c r="C56" s="2">
        <v>1464.4548</v>
      </c>
      <c r="D56" s="2">
        <v>1407.9332999999999</v>
      </c>
      <c r="E56" s="2">
        <v>144.46549999999999</v>
      </c>
      <c r="F56" s="2">
        <v>8806.5157999999992</v>
      </c>
    </row>
    <row r="57" spans="1:6" x14ac:dyDescent="0.25">
      <c r="A57" s="3" t="s">
        <v>43</v>
      </c>
      <c r="B57" s="2">
        <v>1464.4548</v>
      </c>
      <c r="C57" s="2">
        <v>371.6454</v>
      </c>
      <c r="D57" s="2">
        <v>352.92309999999998</v>
      </c>
      <c r="E57" s="2">
        <v>36.147500000000001</v>
      </c>
      <c r="F57" s="2">
        <v>2225.1707999999999</v>
      </c>
    </row>
    <row r="58" spans="1:6" x14ac:dyDescent="0.25">
      <c r="A58" s="3" t="s">
        <v>44</v>
      </c>
      <c r="B58" s="2">
        <v>1407.9332999999999</v>
      </c>
      <c r="C58" s="2">
        <v>352.92309999999998</v>
      </c>
      <c r="D58" s="2">
        <v>350.7833</v>
      </c>
      <c r="E58" s="2">
        <v>36.164400000000001</v>
      </c>
      <c r="F58" s="2">
        <v>2147.8040999999998</v>
      </c>
    </row>
    <row r="59" spans="1:6" x14ac:dyDescent="0.25">
      <c r="A59" s="3" t="s">
        <v>45</v>
      </c>
      <c r="B59" s="2">
        <v>144.46549999999999</v>
      </c>
      <c r="C59" s="2">
        <v>36.147500000000001</v>
      </c>
      <c r="D59" s="2">
        <v>36.164400000000001</v>
      </c>
      <c r="E59" s="2">
        <v>3.7317999999999998</v>
      </c>
      <c r="F59" s="2">
        <v>220.5093</v>
      </c>
    </row>
    <row r="60" spans="1:6" x14ac:dyDescent="0.25">
      <c r="A60" s="3" t="s">
        <v>46</v>
      </c>
      <c r="B60" s="2">
        <v>8806.5157999999992</v>
      </c>
      <c r="C60" s="2">
        <v>2225.1707999999999</v>
      </c>
      <c r="D60" s="2">
        <v>2147.8040999999998</v>
      </c>
      <c r="E60" s="2">
        <v>220.5093</v>
      </c>
      <c r="F60" s="2">
        <v>13400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0.34279999999999999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2.8E-3</v>
      </c>
      <c r="C65" s="2"/>
      <c r="D65" s="2"/>
      <c r="E65" s="2"/>
      <c r="F65" s="2"/>
    </row>
    <row r="66" spans="1:6" x14ac:dyDescent="0.25">
      <c r="A66" s="3" t="s">
        <v>33</v>
      </c>
      <c r="B66" s="2">
        <v>1.6000000000000001E-3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232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13400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234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1.7707999999999999</v>
      </c>
      <c r="C148" s="2">
        <v>0.1079</v>
      </c>
      <c r="D148" s="2">
        <v>16.41</v>
      </c>
      <c r="E148" s="2">
        <v>0.46579999999999999</v>
      </c>
      <c r="F148" s="2">
        <v>0.15429999999999999</v>
      </c>
      <c r="G148" s="2">
        <v>3.0192999999999999</v>
      </c>
      <c r="H148" s="2">
        <v>6.59E-2</v>
      </c>
      <c r="I148" s="2">
        <v>0.1318</v>
      </c>
      <c r="J148" s="2">
        <v>0.49940000000000001</v>
      </c>
      <c r="K148" s="2">
        <v>-2.3025000000000002</v>
      </c>
      <c r="L148" s="2">
        <v>0.25490000000000002</v>
      </c>
      <c r="M148" s="2">
        <v>-9.0343999999999998</v>
      </c>
      <c r="N148" s="2">
        <v>317.87150000000003</v>
      </c>
      <c r="O148" s="4">
        <v>1.2999999999999999E-68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234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-0.1741</v>
      </c>
      <c r="C152" s="2">
        <v>0.1075</v>
      </c>
      <c r="D152" s="2">
        <v>-1.6186</v>
      </c>
      <c r="E152" s="2">
        <v>-0.2631</v>
      </c>
      <c r="F152" s="2">
        <v>0.15479999999999999</v>
      </c>
      <c r="G152" s="2">
        <v>-1.6997</v>
      </c>
      <c r="H152" s="2">
        <v>0.16789999999999999</v>
      </c>
      <c r="I152" s="2">
        <v>0.13300000000000001</v>
      </c>
      <c r="J152" s="2">
        <v>1.2625999999999999</v>
      </c>
      <c r="K152" s="2">
        <v>0.26919999999999999</v>
      </c>
      <c r="L152" s="2">
        <v>0.25430000000000003</v>
      </c>
      <c r="M152" s="2">
        <v>1.0585</v>
      </c>
      <c r="N152" s="2">
        <v>8.7581000000000007</v>
      </c>
      <c r="O152" s="2">
        <v>3.3000000000000002E-2</v>
      </c>
      <c r="P152" s="2"/>
    </row>
    <row r="153" spans="1:16" x14ac:dyDescent="0.25">
      <c r="A153" s="3">
        <v>100</v>
      </c>
      <c r="B153" s="2">
        <v>0.1741</v>
      </c>
      <c r="C153" s="2">
        <v>0.1075</v>
      </c>
      <c r="D153" s="2">
        <v>1.6186</v>
      </c>
      <c r="E153" s="2">
        <v>0.2631</v>
      </c>
      <c r="F153" s="2">
        <v>0.15479999999999999</v>
      </c>
      <c r="G153" s="2">
        <v>1.6997</v>
      </c>
      <c r="H153" s="2">
        <v>-0.16789999999999999</v>
      </c>
      <c r="I153" s="2">
        <v>0.13300000000000001</v>
      </c>
      <c r="J153" s="2">
        <v>-1.2625999999999999</v>
      </c>
      <c r="K153" s="2">
        <v>-0.26919999999999999</v>
      </c>
      <c r="L153" s="2">
        <v>0.25430000000000003</v>
      </c>
      <c r="M153" s="2">
        <v>-1.0585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52.406199999999998</v>
      </c>
      <c r="E160" s="2">
        <v>1</v>
      </c>
      <c r="F160" s="4">
        <v>4.5E-13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168.6508</v>
      </c>
      <c r="E161" s="2">
        <v>1</v>
      </c>
      <c r="F161" s="4">
        <v>1.4999999999999999E-38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144.73599999999999</v>
      </c>
      <c r="E162" s="2">
        <v>1</v>
      </c>
      <c r="F162" s="4">
        <v>2.5000000000000001E-33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3.6514000000000002</v>
      </c>
      <c r="E163" s="2">
        <v>1</v>
      </c>
      <c r="F163" s="2">
        <v>5.6000000000000001E-2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56.064700000000002</v>
      </c>
      <c r="E164" s="2">
        <v>1</v>
      </c>
      <c r="F164" s="4">
        <v>7.0000000000000005E-14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44.420299999999997</v>
      </c>
      <c r="E165" s="2">
        <v>1</v>
      </c>
      <c r="F165" s="4">
        <v>2.6000000000000001E-11</v>
      </c>
    </row>
    <row r="166" spans="1:9" x14ac:dyDescent="0.25">
      <c r="A166" s="3" t="s">
        <v>234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0.24279999999999999</v>
      </c>
      <c r="E167" s="2">
        <v>1</v>
      </c>
      <c r="F167" s="2">
        <v>0.62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6.5841000000000003</v>
      </c>
      <c r="E168" s="2">
        <v>1</v>
      </c>
      <c r="F168" s="2">
        <v>0.01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1.7273000000000001</v>
      </c>
      <c r="E169" s="2">
        <v>1</v>
      </c>
      <c r="F169" s="2">
        <v>0.19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4.1698000000000004</v>
      </c>
      <c r="E170" s="2">
        <v>1</v>
      </c>
      <c r="F170" s="2">
        <v>4.1000000000000002E-2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2.0750000000000002</v>
      </c>
      <c r="E171" s="2">
        <v>1</v>
      </c>
      <c r="F171" s="2">
        <v>0.15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8.1199999999999994E-2</v>
      </c>
      <c r="E172" s="2">
        <v>1</v>
      </c>
      <c r="F172" s="2">
        <v>0.78</v>
      </c>
    </row>
    <row r="174" spans="1:9" ht="18.75" x14ac:dyDescent="0.25">
      <c r="A174" s="1" t="s">
        <v>111</v>
      </c>
    </row>
    <row r="176" spans="1:9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0.65720000000000001</v>
      </c>
      <c r="C177" s="2">
        <v>1.9E-2</v>
      </c>
      <c r="D177" s="2">
        <v>0.1661</v>
      </c>
      <c r="E177" s="2">
        <v>1.61E-2</v>
      </c>
      <c r="F177" s="2">
        <v>0.1603</v>
      </c>
      <c r="G177" s="2">
        <v>1.3899999999999999E-2</v>
      </c>
      <c r="H177" s="2">
        <v>1.6500000000000001E-2</v>
      </c>
      <c r="I177" s="2">
        <v>4.4999999999999997E-3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234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0.9052</v>
      </c>
      <c r="C180" s="2" t="s">
        <v>11</v>
      </c>
      <c r="D180" s="2">
        <v>0.88880000000000003</v>
      </c>
      <c r="E180" s="2" t="s">
        <v>11</v>
      </c>
      <c r="F180" s="2">
        <v>0.94979999999999998</v>
      </c>
      <c r="G180" s="2" t="s">
        <v>11</v>
      </c>
      <c r="H180" s="2">
        <v>0.95860000000000001</v>
      </c>
      <c r="I180" s="2" t="s">
        <v>11</v>
      </c>
    </row>
    <row r="181" spans="1:9" x14ac:dyDescent="0.25">
      <c r="A181" s="3">
        <v>100</v>
      </c>
      <c r="B181" s="2">
        <v>9.4799999999999995E-2</v>
      </c>
      <c r="C181" s="2" t="s">
        <v>11</v>
      </c>
      <c r="D181" s="2">
        <v>0.11119999999999999</v>
      </c>
      <c r="E181" s="2" t="s">
        <v>11</v>
      </c>
      <c r="F181" s="2">
        <v>5.0200000000000002E-2</v>
      </c>
      <c r="G181" s="2" t="s">
        <v>11</v>
      </c>
      <c r="H181" s="2">
        <v>4.1399999999999999E-2</v>
      </c>
      <c r="I181" s="2" t="s">
        <v>11</v>
      </c>
    </row>
    <row r="183" spans="1:9" ht="18.75" x14ac:dyDescent="0.25">
      <c r="A183" s="1" t="s">
        <v>113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0.65720000000000001</v>
      </c>
      <c r="C186" s="2">
        <v>0.1661</v>
      </c>
      <c r="D186" s="2">
        <v>0.1603</v>
      </c>
      <c r="E186" s="2">
        <v>1.6500000000000001E-2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234</v>
      </c>
      <c r="B188" s="2"/>
      <c r="C188" s="2"/>
      <c r="D188" s="2"/>
      <c r="E188" s="2"/>
    </row>
    <row r="189" spans="1:9" x14ac:dyDescent="0.25">
      <c r="A189" s="3">
        <v>0</v>
      </c>
      <c r="B189" s="2">
        <v>0.65339999999999998</v>
      </c>
      <c r="C189" s="2">
        <v>0.16209999999999999</v>
      </c>
      <c r="D189" s="2">
        <v>0.16719999999999999</v>
      </c>
      <c r="E189" s="2">
        <v>1.7299999999999999E-2</v>
      </c>
    </row>
    <row r="190" spans="1:9" x14ac:dyDescent="0.25">
      <c r="A190" s="3">
        <v>100</v>
      </c>
      <c r="B190" s="2">
        <v>0.69610000000000005</v>
      </c>
      <c r="C190" s="2">
        <v>0.2064</v>
      </c>
      <c r="D190" s="2">
        <v>8.9899999999999994E-2</v>
      </c>
      <c r="E190" s="2">
        <v>7.6E-3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234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>
        <v>0</v>
      </c>
      <c r="B196" s="2">
        <v>0.65339999999999998</v>
      </c>
      <c r="C196" s="2">
        <v>2.0199999999999999E-2</v>
      </c>
      <c r="D196" s="2">
        <v>0.16209999999999999</v>
      </c>
      <c r="E196" s="2">
        <v>1.6899999999999998E-2</v>
      </c>
      <c r="F196" s="2">
        <v>0.16719999999999999</v>
      </c>
      <c r="G196" s="2">
        <v>1.52E-2</v>
      </c>
      <c r="H196" s="2">
        <v>1.7299999999999999E-2</v>
      </c>
      <c r="I196" s="2">
        <v>4.8999999999999998E-3</v>
      </c>
    </row>
    <row r="197" spans="1:9" x14ac:dyDescent="0.25">
      <c r="A197" s="3">
        <v>100</v>
      </c>
      <c r="B197" s="2">
        <v>0.69610000000000005</v>
      </c>
      <c r="C197" s="2">
        <v>5.28E-2</v>
      </c>
      <c r="D197" s="2">
        <v>0.2064</v>
      </c>
      <c r="E197" s="2">
        <v>5.5E-2</v>
      </c>
      <c r="F197" s="2">
        <v>8.9899999999999994E-2</v>
      </c>
      <c r="G197" s="2">
        <v>1.9900000000000001E-2</v>
      </c>
      <c r="H197" s="2">
        <v>7.6E-3</v>
      </c>
      <c r="I197" s="2">
        <v>4.5999999999999999E-3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0.95289999999999997</v>
      </c>
      <c r="C201" s="2" t="s">
        <v>11</v>
      </c>
      <c r="D201" s="2">
        <v>3.7100000000000001E-2</v>
      </c>
      <c r="E201" s="2" t="s">
        <v>11</v>
      </c>
      <c r="F201" s="2">
        <v>9.4999999999999998E-3</v>
      </c>
      <c r="G201" s="2" t="s">
        <v>11</v>
      </c>
      <c r="H201" s="2">
        <v>5.0000000000000001E-4</v>
      </c>
      <c r="I201" s="2" t="s">
        <v>11</v>
      </c>
    </row>
    <row r="202" spans="1:9" x14ac:dyDescent="0.25">
      <c r="A202" s="3">
        <v>2</v>
      </c>
      <c r="B202" s="2">
        <v>0.1469</v>
      </c>
      <c r="C202" s="2" t="s">
        <v>11</v>
      </c>
      <c r="D202" s="2">
        <v>0.80220000000000002</v>
      </c>
      <c r="E202" s="2" t="s">
        <v>11</v>
      </c>
      <c r="F202" s="2">
        <v>5.0700000000000002E-2</v>
      </c>
      <c r="G202" s="2" t="s">
        <v>11</v>
      </c>
      <c r="H202" s="2">
        <v>2.0000000000000001E-4</v>
      </c>
      <c r="I202" s="2" t="s">
        <v>11</v>
      </c>
    </row>
    <row r="203" spans="1:9" x14ac:dyDescent="0.25">
      <c r="A203" s="3">
        <v>3</v>
      </c>
      <c r="B203" s="2">
        <v>3.8800000000000001E-2</v>
      </c>
      <c r="C203" s="2" t="s">
        <v>11</v>
      </c>
      <c r="D203" s="2">
        <v>5.2499999999999998E-2</v>
      </c>
      <c r="E203" s="2" t="s">
        <v>11</v>
      </c>
      <c r="F203" s="2">
        <v>0.90569999999999995</v>
      </c>
      <c r="G203" s="2" t="s">
        <v>11</v>
      </c>
      <c r="H203" s="2">
        <v>3.0000000000000001E-3</v>
      </c>
      <c r="I203" s="2" t="s">
        <v>11</v>
      </c>
    </row>
    <row r="204" spans="1:9" x14ac:dyDescent="0.25">
      <c r="A204" s="3">
        <v>4</v>
      </c>
      <c r="B204" s="2">
        <v>1.9400000000000001E-2</v>
      </c>
      <c r="C204" s="2" t="s">
        <v>11</v>
      </c>
      <c r="D204" s="2">
        <v>2E-3</v>
      </c>
      <c r="E204" s="2" t="s">
        <v>11</v>
      </c>
      <c r="F204" s="2">
        <v>2.9399999999999999E-2</v>
      </c>
      <c r="G204" s="2" t="s">
        <v>11</v>
      </c>
      <c r="H204" s="2">
        <v>0.94920000000000004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P204"/>
  <sheetViews>
    <sheetView workbookViewId="0">
      <selection activeCell="B195" sqref="B195"/>
    </sheetView>
  </sheetViews>
  <sheetFormatPr defaultRowHeight="15" x14ac:dyDescent="0.25"/>
  <cols>
    <col min="1" max="1" width="30.57031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37.5" x14ac:dyDescent="0.25">
      <c r="A1" s="1" t="s">
        <v>259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13384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15.1584</v>
      </c>
      <c r="C7" s="2"/>
      <c r="D7" s="2"/>
      <c r="E7" s="2"/>
      <c r="F7" s="2"/>
    </row>
    <row r="8" spans="1:6" x14ac:dyDescent="0.25">
      <c r="A8" s="3" t="s">
        <v>4</v>
      </c>
      <c r="B8" s="2">
        <v>15.1584</v>
      </c>
      <c r="C8" s="2"/>
      <c r="D8" s="2"/>
      <c r="E8" s="2"/>
      <c r="F8" s="2"/>
    </row>
    <row r="9" spans="1:6" x14ac:dyDescent="0.25">
      <c r="A9" s="3" t="s">
        <v>5</v>
      </c>
      <c r="B9" s="2">
        <v>230569</v>
      </c>
      <c r="C9" s="2"/>
      <c r="D9" s="2"/>
      <c r="E9" s="2"/>
      <c r="F9" s="2"/>
    </row>
    <row r="10" spans="1:6" x14ac:dyDescent="0.25">
      <c r="A10" s="3" t="s">
        <v>6</v>
      </c>
      <c r="B10" s="2">
        <v>230569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-12513.8328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-12513.8328</v>
      </c>
      <c r="C27" s="2"/>
      <c r="D27" s="2"/>
      <c r="E27" s="2"/>
      <c r="F27" s="2"/>
    </row>
    <row r="28" spans="1:6" x14ac:dyDescent="0.25">
      <c r="A28" s="3" t="s">
        <v>24</v>
      </c>
      <c r="B28" s="2">
        <v>25084.676599999999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25039.665700000001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25045.665700000001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25090.676599999999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25065.609100000001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0.34320000000000001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1E-3</v>
      </c>
      <c r="C38" s="2"/>
      <c r="D38" s="2"/>
      <c r="E38" s="2"/>
      <c r="F38" s="2"/>
    </row>
    <row r="39" spans="1:6" x14ac:dyDescent="0.25">
      <c r="A39" s="3" t="s">
        <v>33</v>
      </c>
      <c r="B39" s="2">
        <v>1.1000000000000001E-3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-25024.363499999999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12510.5306</v>
      </c>
      <c r="C41" s="2"/>
      <c r="D41" s="2"/>
      <c r="E41" s="2"/>
      <c r="F41" s="2"/>
    </row>
    <row r="42" spans="1:6" x14ac:dyDescent="0.25">
      <c r="A42" s="3" t="s">
        <v>36</v>
      </c>
      <c r="B42" s="2">
        <v>50048.726900000001</v>
      </c>
      <c r="C42" s="2"/>
      <c r="D42" s="2"/>
      <c r="E42" s="2"/>
      <c r="F42" s="2"/>
    </row>
    <row r="43" spans="1:6" x14ac:dyDescent="0.25">
      <c r="A43" s="3" t="s">
        <v>37</v>
      </c>
      <c r="B43" s="2">
        <v>50180.748699999996</v>
      </c>
      <c r="C43" s="2"/>
      <c r="D43" s="2"/>
      <c r="E43" s="2"/>
      <c r="F43" s="2"/>
    </row>
    <row r="44" spans="1:6" x14ac:dyDescent="0.25">
      <c r="A44" s="3" t="s">
        <v>38</v>
      </c>
      <c r="B44" s="2">
        <v>50105.737800000003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8790.3282999999992</v>
      </c>
      <c r="C48" s="2">
        <v>0</v>
      </c>
      <c r="D48" s="2">
        <v>0</v>
      </c>
      <c r="E48" s="2">
        <v>0</v>
      </c>
      <c r="F48" s="2">
        <v>8790.3282999999992</v>
      </c>
    </row>
    <row r="49" spans="1:6" x14ac:dyDescent="0.25">
      <c r="A49" s="3" t="s">
        <v>43</v>
      </c>
      <c r="B49" s="2">
        <v>2225.2761999999998</v>
      </c>
      <c r="C49" s="2">
        <v>0</v>
      </c>
      <c r="D49" s="2">
        <v>0</v>
      </c>
      <c r="E49" s="2">
        <v>0</v>
      </c>
      <c r="F49" s="2">
        <v>2225.2761999999998</v>
      </c>
    </row>
    <row r="50" spans="1:6" x14ac:dyDescent="0.25">
      <c r="A50" s="3" t="s">
        <v>44</v>
      </c>
      <c r="B50" s="2">
        <v>2147.8764999999999</v>
      </c>
      <c r="C50" s="2">
        <v>0</v>
      </c>
      <c r="D50" s="2">
        <v>0</v>
      </c>
      <c r="E50" s="2">
        <v>0</v>
      </c>
      <c r="F50" s="2">
        <v>2147.8764999999999</v>
      </c>
    </row>
    <row r="51" spans="1:6" x14ac:dyDescent="0.25">
      <c r="A51" s="3" t="s">
        <v>45</v>
      </c>
      <c r="B51" s="2">
        <v>220.51900000000001</v>
      </c>
      <c r="C51" s="2">
        <v>0</v>
      </c>
      <c r="D51" s="2">
        <v>0</v>
      </c>
      <c r="E51" s="2">
        <v>0</v>
      </c>
      <c r="F51" s="2">
        <v>220.51900000000001</v>
      </c>
    </row>
    <row r="52" spans="1:6" x14ac:dyDescent="0.25">
      <c r="A52" s="3" t="s">
        <v>46</v>
      </c>
      <c r="B52" s="2">
        <v>13384</v>
      </c>
      <c r="C52" s="2">
        <v>0</v>
      </c>
      <c r="D52" s="2">
        <v>0</v>
      </c>
      <c r="E52" s="2">
        <v>0</v>
      </c>
      <c r="F52" s="2">
        <v>13384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5778.3698999999997</v>
      </c>
      <c r="C56" s="2">
        <v>1458.7673</v>
      </c>
      <c r="D56" s="2">
        <v>1408.1279999999999</v>
      </c>
      <c r="E56" s="2">
        <v>145.06309999999999</v>
      </c>
      <c r="F56" s="2">
        <v>8790.3282999999992</v>
      </c>
    </row>
    <row r="57" spans="1:6" x14ac:dyDescent="0.25">
      <c r="A57" s="3" t="s">
        <v>43</v>
      </c>
      <c r="B57" s="2">
        <v>1458.7673</v>
      </c>
      <c r="C57" s="2">
        <v>371.47219999999999</v>
      </c>
      <c r="D57" s="2">
        <v>358.49759999999998</v>
      </c>
      <c r="E57" s="2">
        <v>36.539200000000001</v>
      </c>
      <c r="F57" s="2">
        <v>2225.2761999999998</v>
      </c>
    </row>
    <row r="58" spans="1:6" x14ac:dyDescent="0.25">
      <c r="A58" s="3" t="s">
        <v>44</v>
      </c>
      <c r="B58" s="2">
        <v>1408.1279999999999</v>
      </c>
      <c r="C58" s="2">
        <v>358.49759999999998</v>
      </c>
      <c r="D58" s="2">
        <v>345.97809999999998</v>
      </c>
      <c r="E58" s="2">
        <v>35.272799999999997</v>
      </c>
      <c r="F58" s="2">
        <v>2147.8764999999999</v>
      </c>
    </row>
    <row r="59" spans="1:6" x14ac:dyDescent="0.25">
      <c r="A59" s="3" t="s">
        <v>45</v>
      </c>
      <c r="B59" s="2">
        <v>145.06309999999999</v>
      </c>
      <c r="C59" s="2">
        <v>36.539200000000001</v>
      </c>
      <c r="D59" s="2">
        <v>35.272799999999997</v>
      </c>
      <c r="E59" s="2">
        <v>3.6438999999999999</v>
      </c>
      <c r="F59" s="2">
        <v>220.51900000000001</v>
      </c>
    </row>
    <row r="60" spans="1:6" x14ac:dyDescent="0.25">
      <c r="A60" s="3" t="s">
        <v>46</v>
      </c>
      <c r="B60" s="2">
        <v>8790.3282999999992</v>
      </c>
      <c r="C60" s="2">
        <v>2225.2761999999998</v>
      </c>
      <c r="D60" s="2">
        <v>2147.8764999999999</v>
      </c>
      <c r="E60" s="2">
        <v>220.51900000000001</v>
      </c>
      <c r="F60" s="2">
        <v>13384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0.34320000000000001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1E-3</v>
      </c>
      <c r="C65" s="2"/>
      <c r="D65" s="2"/>
      <c r="E65" s="2"/>
      <c r="F65" s="2"/>
    </row>
    <row r="66" spans="1:6" x14ac:dyDescent="0.25">
      <c r="A66" s="3" t="s">
        <v>33</v>
      </c>
      <c r="B66" s="2">
        <v>1.1000000000000001E-3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256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13384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260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 t="s">
        <v>187</v>
      </c>
      <c r="B141" s="2">
        <v>1</v>
      </c>
      <c r="C141" s="2"/>
      <c r="D141" s="2"/>
      <c r="E141" s="2"/>
      <c r="F141" s="2"/>
    </row>
    <row r="142" spans="1:6" x14ac:dyDescent="0.25">
      <c r="A142" s="3" t="s">
        <v>188</v>
      </c>
      <c r="B142" s="2">
        <v>2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8.5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1.6177999999999999</v>
      </c>
      <c r="C148" s="2">
        <v>8.5099999999999995E-2</v>
      </c>
      <c r="D148" s="2">
        <v>19.0002</v>
      </c>
      <c r="E148" s="2">
        <v>0.2432</v>
      </c>
      <c r="F148" s="2">
        <v>0.1095</v>
      </c>
      <c r="G148" s="2">
        <v>2.2204000000000002</v>
      </c>
      <c r="H148" s="2">
        <v>0.2079</v>
      </c>
      <c r="I148" s="2">
        <v>0.1043</v>
      </c>
      <c r="J148" s="2">
        <v>1.9934000000000001</v>
      </c>
      <c r="K148" s="2">
        <v>-2.0689000000000002</v>
      </c>
      <c r="L148" s="2">
        <v>0.20949999999999999</v>
      </c>
      <c r="M148" s="2">
        <v>-9.875</v>
      </c>
      <c r="N148" s="2">
        <v>406.1755</v>
      </c>
      <c r="O148" s="4">
        <v>1E-87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8.5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260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187</v>
      </c>
      <c r="B152" s="2">
        <v>-3.9899999999999998E-2</v>
      </c>
      <c r="C152" s="2">
        <v>8.4400000000000003E-2</v>
      </c>
      <c r="D152" s="2">
        <v>-0.47299999999999998</v>
      </c>
      <c r="E152" s="2">
        <v>5.3199999999999997E-2</v>
      </c>
      <c r="F152" s="2">
        <v>0.1099</v>
      </c>
      <c r="G152" s="2">
        <v>0.48430000000000001</v>
      </c>
      <c r="H152" s="2">
        <v>5.0799999999999998E-2</v>
      </c>
      <c r="I152" s="2">
        <v>0.1067</v>
      </c>
      <c r="J152" s="2">
        <v>0.47639999999999999</v>
      </c>
      <c r="K152" s="2">
        <v>-6.4199999999999993E-2</v>
      </c>
      <c r="L152" s="2">
        <v>0.2087</v>
      </c>
      <c r="M152" s="2">
        <v>-0.30740000000000001</v>
      </c>
      <c r="N152" s="2">
        <v>1.1901999999999999</v>
      </c>
      <c r="O152" s="2">
        <v>0.76</v>
      </c>
      <c r="P152" s="2"/>
    </row>
    <row r="153" spans="1:16" x14ac:dyDescent="0.25">
      <c r="A153" s="3" t="s">
        <v>188</v>
      </c>
      <c r="B153" s="2">
        <v>3.9899999999999998E-2</v>
      </c>
      <c r="C153" s="2">
        <v>8.4400000000000003E-2</v>
      </c>
      <c r="D153" s="2">
        <v>0.47299999999999998</v>
      </c>
      <c r="E153" s="2">
        <v>-5.3199999999999997E-2</v>
      </c>
      <c r="F153" s="2">
        <v>0.1099</v>
      </c>
      <c r="G153" s="2">
        <v>-0.48430000000000001</v>
      </c>
      <c r="H153" s="2">
        <v>-5.0799999999999998E-2</v>
      </c>
      <c r="I153" s="2">
        <v>0.1067</v>
      </c>
      <c r="J153" s="2">
        <v>-0.47639999999999999</v>
      </c>
      <c r="K153" s="2">
        <v>6.4199999999999993E-2</v>
      </c>
      <c r="L153" s="2">
        <v>0.2087</v>
      </c>
      <c r="M153" s="2">
        <v>0.30740000000000001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132.92490000000001</v>
      </c>
      <c r="E160" s="2">
        <v>1</v>
      </c>
      <c r="F160" s="4">
        <v>9.3999999999999997E-31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177.82</v>
      </c>
      <c r="E161" s="2">
        <v>1</v>
      </c>
      <c r="F161" s="4">
        <v>1.5000000000000001E-40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175.10220000000001</v>
      </c>
      <c r="E162" s="2">
        <v>1</v>
      </c>
      <c r="F162" s="4">
        <v>5.6999999999999998E-40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5.8999999999999997E-2</v>
      </c>
      <c r="E163" s="2">
        <v>1</v>
      </c>
      <c r="F163" s="2">
        <v>0.81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61.657699999999998</v>
      </c>
      <c r="E164" s="2">
        <v>1</v>
      </c>
      <c r="F164" s="4">
        <v>4.1000000000000004E-15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60.793500000000002</v>
      </c>
      <c r="E165" s="2">
        <v>1</v>
      </c>
      <c r="F165" s="4">
        <v>6.2999999999999998E-15</v>
      </c>
    </row>
    <row r="166" spans="1:9" x14ac:dyDescent="0.25">
      <c r="A166" s="3" t="s">
        <v>260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0.60189999999999999</v>
      </c>
      <c r="E167" s="2">
        <v>1</v>
      </c>
      <c r="F167" s="2">
        <v>0.44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0.71819999999999995</v>
      </c>
      <c r="E168" s="2">
        <v>1</v>
      </c>
      <c r="F168" s="2">
        <v>0.4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7.7000000000000002E-3</v>
      </c>
      <c r="E169" s="2">
        <v>1</v>
      </c>
      <c r="F169" s="2">
        <v>0.93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2.9999999999999997E-4</v>
      </c>
      <c r="E170" s="2">
        <v>1</v>
      </c>
      <c r="F170" s="2">
        <v>0.99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0.16070000000000001</v>
      </c>
      <c r="E171" s="2">
        <v>1</v>
      </c>
      <c r="F171" s="2">
        <v>0.69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0.15390000000000001</v>
      </c>
      <c r="E172" s="2">
        <v>1</v>
      </c>
      <c r="F172" s="2">
        <v>0.69</v>
      </c>
    </row>
    <row r="174" spans="1:9" ht="18.75" x14ac:dyDescent="0.25">
      <c r="A174" s="1" t="s">
        <v>111</v>
      </c>
    </row>
    <row r="176" spans="1:9" ht="28.5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0.65680000000000005</v>
      </c>
      <c r="C177" s="2">
        <v>1.9E-2</v>
      </c>
      <c r="D177" s="2">
        <v>0.1663</v>
      </c>
      <c r="E177" s="2">
        <v>1.6199999999999999E-2</v>
      </c>
      <c r="F177" s="2">
        <v>0.1605</v>
      </c>
      <c r="G177" s="2">
        <v>1.4E-2</v>
      </c>
      <c r="H177" s="2">
        <v>1.6500000000000001E-2</v>
      </c>
      <c r="I177" s="2">
        <v>4.4999999999999997E-3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260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 t="s">
        <v>187</v>
      </c>
      <c r="B180" s="2">
        <v>0.48120000000000002</v>
      </c>
      <c r="C180" s="2" t="s">
        <v>11</v>
      </c>
      <c r="D180" s="2">
        <v>0.52769999999999995</v>
      </c>
      <c r="E180" s="2" t="s">
        <v>11</v>
      </c>
      <c r="F180" s="2">
        <v>0.52649999999999997</v>
      </c>
      <c r="G180" s="2" t="s">
        <v>11</v>
      </c>
      <c r="H180" s="2">
        <v>0.46910000000000002</v>
      </c>
      <c r="I180" s="2" t="s">
        <v>11</v>
      </c>
    </row>
    <row r="181" spans="1:9" x14ac:dyDescent="0.25">
      <c r="A181" s="3" t="s">
        <v>188</v>
      </c>
      <c r="B181" s="2">
        <v>0.51880000000000004</v>
      </c>
      <c r="C181" s="2" t="s">
        <v>11</v>
      </c>
      <c r="D181" s="2">
        <v>0.4723</v>
      </c>
      <c r="E181" s="2" t="s">
        <v>11</v>
      </c>
      <c r="F181" s="2">
        <v>0.47349999999999998</v>
      </c>
      <c r="G181" s="2" t="s">
        <v>11</v>
      </c>
      <c r="H181" s="2">
        <v>0.53090000000000004</v>
      </c>
      <c r="I181" s="2" t="s">
        <v>11</v>
      </c>
    </row>
    <row r="183" spans="1:9" ht="18.75" x14ac:dyDescent="0.25">
      <c r="A183" s="1" t="s">
        <v>113</v>
      </c>
    </row>
    <row r="185" spans="1:9" ht="28.5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0.65680000000000005</v>
      </c>
      <c r="C186" s="2">
        <v>0.1663</v>
      </c>
      <c r="D186" s="2">
        <v>0.1605</v>
      </c>
      <c r="E186" s="2">
        <v>1.6500000000000001E-2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260</v>
      </c>
      <c r="B188" s="2"/>
      <c r="C188" s="2"/>
      <c r="D188" s="2"/>
      <c r="E188" s="2"/>
    </row>
    <row r="189" spans="1:9" x14ac:dyDescent="0.25">
      <c r="A189" s="3" t="s">
        <v>187</v>
      </c>
      <c r="B189" s="2">
        <v>0.63719999999999999</v>
      </c>
      <c r="C189" s="2">
        <v>0.1769</v>
      </c>
      <c r="D189" s="2">
        <v>0.1704</v>
      </c>
      <c r="E189" s="2">
        <v>1.5599999999999999E-2</v>
      </c>
    </row>
    <row r="190" spans="1:9" x14ac:dyDescent="0.25">
      <c r="A190" s="3" t="s">
        <v>188</v>
      </c>
      <c r="B190" s="2">
        <v>0.67610000000000003</v>
      </c>
      <c r="C190" s="2">
        <v>0.15579999999999999</v>
      </c>
      <c r="D190" s="2">
        <v>0.15079999999999999</v>
      </c>
      <c r="E190" s="2">
        <v>1.7399999999999999E-2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260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 t="s">
        <v>187</v>
      </c>
      <c r="B196" s="2">
        <v>0.63719999999999999</v>
      </c>
      <c r="C196" s="2">
        <v>2.69E-2</v>
      </c>
      <c r="D196" s="2">
        <v>0.1769</v>
      </c>
      <c r="E196" s="2">
        <v>2.3E-2</v>
      </c>
      <c r="F196" s="2">
        <v>0.1704</v>
      </c>
      <c r="G196" s="2">
        <v>2.0199999999999999E-2</v>
      </c>
      <c r="H196" s="2">
        <v>1.5599999999999999E-2</v>
      </c>
      <c r="I196" s="2">
        <v>6.3E-3</v>
      </c>
    </row>
    <row r="197" spans="1:9" x14ac:dyDescent="0.25">
      <c r="A197" s="3" t="s">
        <v>188</v>
      </c>
      <c r="B197" s="2">
        <v>0.67610000000000003</v>
      </c>
      <c r="C197" s="2">
        <v>2.6700000000000002E-2</v>
      </c>
      <c r="D197" s="2">
        <v>0.15579999999999999</v>
      </c>
      <c r="E197" s="2">
        <v>2.3E-2</v>
      </c>
      <c r="F197" s="2">
        <v>0.15079999999999999</v>
      </c>
      <c r="G197" s="2">
        <v>1.9800000000000002E-2</v>
      </c>
      <c r="H197" s="2">
        <v>1.7399999999999999E-2</v>
      </c>
      <c r="I197" s="2">
        <v>6.3E-3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0.95289999999999997</v>
      </c>
      <c r="C201" s="2" t="s">
        <v>11</v>
      </c>
      <c r="D201" s="2">
        <v>3.7199999999999997E-2</v>
      </c>
      <c r="E201" s="2" t="s">
        <v>11</v>
      </c>
      <c r="F201" s="2">
        <v>9.4999999999999998E-3</v>
      </c>
      <c r="G201" s="2" t="s">
        <v>11</v>
      </c>
      <c r="H201" s="2">
        <v>5.0000000000000001E-4</v>
      </c>
      <c r="I201" s="2" t="s">
        <v>11</v>
      </c>
    </row>
    <row r="202" spans="1:9" x14ac:dyDescent="0.25">
      <c r="A202" s="3">
        <v>2</v>
      </c>
      <c r="B202" s="2">
        <v>0.1469</v>
      </c>
      <c r="C202" s="2" t="s">
        <v>11</v>
      </c>
      <c r="D202" s="2">
        <v>0.80220000000000002</v>
      </c>
      <c r="E202" s="2" t="s">
        <v>11</v>
      </c>
      <c r="F202" s="2">
        <v>5.0700000000000002E-2</v>
      </c>
      <c r="G202" s="2" t="s">
        <v>11</v>
      </c>
      <c r="H202" s="2">
        <v>2.0000000000000001E-4</v>
      </c>
      <c r="I202" s="2" t="s">
        <v>11</v>
      </c>
    </row>
    <row r="203" spans="1:9" x14ac:dyDescent="0.25">
      <c r="A203" s="3">
        <v>3</v>
      </c>
      <c r="B203" s="2">
        <v>3.8800000000000001E-2</v>
      </c>
      <c r="C203" s="2" t="s">
        <v>11</v>
      </c>
      <c r="D203" s="2">
        <v>5.2499999999999998E-2</v>
      </c>
      <c r="E203" s="2" t="s">
        <v>11</v>
      </c>
      <c r="F203" s="2">
        <v>0.90569999999999995</v>
      </c>
      <c r="G203" s="2" t="s">
        <v>11</v>
      </c>
      <c r="H203" s="2">
        <v>3.0000000000000001E-3</v>
      </c>
      <c r="I203" s="2" t="s">
        <v>11</v>
      </c>
    </row>
    <row r="204" spans="1:9" x14ac:dyDescent="0.25">
      <c r="A204" s="3">
        <v>4</v>
      </c>
      <c r="B204" s="2">
        <v>1.9400000000000001E-2</v>
      </c>
      <c r="C204" s="2" t="s">
        <v>11</v>
      </c>
      <c r="D204" s="2">
        <v>2E-3</v>
      </c>
      <c r="E204" s="2" t="s">
        <v>11</v>
      </c>
      <c r="F204" s="2">
        <v>2.9399999999999999E-2</v>
      </c>
      <c r="G204" s="2" t="s">
        <v>11</v>
      </c>
      <c r="H204" s="2">
        <v>0.94920000000000004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276"/>
  <sheetViews>
    <sheetView workbookViewId="0">
      <selection activeCell="N184" sqref="N184"/>
    </sheetView>
  </sheetViews>
  <sheetFormatPr defaultRowHeight="15" x14ac:dyDescent="0.25"/>
  <cols>
    <col min="1" max="1" width="30.42578125" bestFit="1" customWidth="1"/>
    <col min="2" max="2" width="12.140625" bestFit="1" customWidth="1"/>
    <col min="3" max="4" width="9.5703125" bestFit="1" customWidth="1"/>
    <col min="6" max="6" width="9.5703125" bestFit="1" customWidth="1"/>
    <col min="7" max="7" width="7.5703125" bestFit="1" customWidth="1"/>
    <col min="9" max="9" width="6.5703125" bestFit="1" customWidth="1"/>
    <col min="10" max="10" width="7.5703125" bestFit="1" customWidth="1"/>
    <col min="12" max="12" width="6.5703125" bestFit="1" customWidth="1"/>
    <col min="13" max="14" width="7.5703125" bestFit="1" customWidth="1"/>
    <col min="15" max="15" width="8.5703125" bestFit="1" customWidth="1"/>
  </cols>
  <sheetData>
    <row r="1" spans="1:6" ht="37.5" x14ac:dyDescent="0.25">
      <c r="A1" s="1" t="s">
        <v>125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12928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11.418200000000001</v>
      </c>
      <c r="C7" s="2"/>
      <c r="D7" s="2"/>
      <c r="E7" s="2"/>
      <c r="F7" s="2"/>
    </row>
    <row r="8" spans="1:6" x14ac:dyDescent="0.25">
      <c r="A8" s="3" t="s">
        <v>4</v>
      </c>
      <c r="B8" s="2">
        <v>11.418200000000001</v>
      </c>
      <c r="C8" s="2"/>
      <c r="D8" s="2"/>
      <c r="E8" s="2"/>
      <c r="F8" s="2"/>
    </row>
    <row r="9" spans="1:6" x14ac:dyDescent="0.25">
      <c r="A9" s="3" t="s">
        <v>5</v>
      </c>
      <c r="B9" s="2">
        <v>315876</v>
      </c>
      <c r="C9" s="2"/>
      <c r="D9" s="2"/>
      <c r="E9" s="2"/>
      <c r="F9" s="2"/>
    </row>
    <row r="10" spans="1:6" x14ac:dyDescent="0.25">
      <c r="A10" s="3" t="s">
        <v>6</v>
      </c>
      <c r="B10" s="2">
        <v>315876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102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1189.8805</v>
      </c>
      <c r="C14" s="4">
        <v>7.8999999999999999E-185</v>
      </c>
      <c r="D14" s="2"/>
      <c r="E14" s="2"/>
      <c r="F14" s="2"/>
    </row>
    <row r="15" spans="1:6" x14ac:dyDescent="0.25">
      <c r="A15" s="3" t="s">
        <v>12</v>
      </c>
      <c r="B15" s="2">
        <v>1289.1328000000001</v>
      </c>
      <c r="C15" s="4">
        <v>1.2E-204</v>
      </c>
      <c r="D15" s="2"/>
      <c r="E15" s="2"/>
      <c r="F15" s="2"/>
    </row>
    <row r="16" spans="1:6" x14ac:dyDescent="0.25">
      <c r="A16" s="3" t="s">
        <v>13</v>
      </c>
      <c r="B16" s="2">
        <v>1225.5424</v>
      </c>
      <c r="C16" s="4">
        <v>6.2000000000000001E-192</v>
      </c>
      <c r="D16" s="2"/>
      <c r="E16" s="2"/>
      <c r="F16" s="2"/>
    </row>
    <row r="17" spans="1:6" x14ac:dyDescent="0.25">
      <c r="A17" s="3" t="s">
        <v>14</v>
      </c>
      <c r="B17" s="2">
        <v>224.2311</v>
      </c>
      <c r="C17" s="2"/>
      <c r="D17" s="2"/>
      <c r="E17" s="2"/>
      <c r="F17" s="2"/>
    </row>
    <row r="18" spans="1:6" x14ac:dyDescent="0.25">
      <c r="A18" s="3" t="s">
        <v>15</v>
      </c>
      <c r="B18" s="2">
        <v>985.88049999999998</v>
      </c>
      <c r="C18" s="2"/>
      <c r="D18" s="2"/>
      <c r="E18" s="2"/>
      <c r="F18" s="2"/>
    </row>
    <row r="19" spans="1:6" x14ac:dyDescent="0.25">
      <c r="A19" s="3" t="s">
        <v>16</v>
      </c>
      <c r="B19" s="2">
        <v>883.88049999999998</v>
      </c>
      <c r="C19" s="2"/>
      <c r="D19" s="2"/>
      <c r="E19" s="2"/>
      <c r="F19" s="2"/>
    </row>
    <row r="20" spans="1:6" x14ac:dyDescent="0.25">
      <c r="A20" s="3" t="s">
        <v>17</v>
      </c>
      <c r="B20" s="2">
        <v>122.2311</v>
      </c>
      <c r="C20" s="2"/>
      <c r="D20" s="2"/>
      <c r="E20" s="2"/>
      <c r="F20" s="2"/>
    </row>
    <row r="21" spans="1:6" x14ac:dyDescent="0.25">
      <c r="A21" s="3" t="s">
        <v>18</v>
      </c>
      <c r="B21" s="2">
        <v>548.37689999999998</v>
      </c>
      <c r="C21" s="2"/>
      <c r="D21" s="2"/>
      <c r="E21" s="2"/>
      <c r="F21" s="2"/>
    </row>
    <row r="22" spans="1:6" x14ac:dyDescent="0.25">
      <c r="A22" s="3" t="s">
        <v>19</v>
      </c>
      <c r="B22" s="2">
        <v>9.74E-2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-11971.6131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-11971.6131</v>
      </c>
      <c r="C27" s="2"/>
      <c r="D27" s="2"/>
      <c r="E27" s="2"/>
      <c r="F27" s="2"/>
    </row>
    <row r="28" spans="1:6" x14ac:dyDescent="0.25">
      <c r="A28" s="3" t="s">
        <v>24</v>
      </c>
      <c r="B28" s="2">
        <v>24000.029200000001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23955.226299999998</v>
      </c>
      <c r="C29" s="2"/>
      <c r="D29" s="2"/>
      <c r="E29" s="2"/>
      <c r="F29" s="2"/>
    </row>
    <row r="30" spans="1:6" x14ac:dyDescent="0.25">
      <c r="A30" s="3" t="s">
        <v>26</v>
      </c>
      <c r="B30" s="2">
        <v>23961.226299999998</v>
      </c>
      <c r="C30" s="2"/>
      <c r="D30" s="2"/>
      <c r="E30" s="2"/>
      <c r="F30" s="2"/>
    </row>
    <row r="31" spans="1:6" x14ac:dyDescent="0.25">
      <c r="A31" s="3" t="s">
        <v>27</v>
      </c>
      <c r="B31" s="2">
        <v>24006.029200000001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23980.961800000001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0.33989999999999998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3.3E-3</v>
      </c>
      <c r="C38" s="2"/>
      <c r="D38" s="2"/>
      <c r="E38" s="2"/>
      <c r="F38" s="2"/>
    </row>
    <row r="39" spans="1:6" x14ac:dyDescent="0.25">
      <c r="A39" s="3" t="s">
        <v>33</v>
      </c>
      <c r="B39" s="2">
        <v>3.8999999999999998E-3</v>
      </c>
      <c r="C39" s="2"/>
      <c r="D39" s="2"/>
      <c r="E39" s="2"/>
      <c r="F39" s="2"/>
    </row>
    <row r="40" spans="1:6" x14ac:dyDescent="0.25">
      <c r="A40" s="3" t="s">
        <v>34</v>
      </c>
      <c r="B40" s="2">
        <v>-23936.346799999999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11964.7336</v>
      </c>
      <c r="C41" s="2"/>
      <c r="D41" s="2"/>
      <c r="E41" s="2"/>
      <c r="F41" s="2"/>
    </row>
    <row r="42" spans="1:6" x14ac:dyDescent="0.25">
      <c r="A42" s="3" t="s">
        <v>36</v>
      </c>
      <c r="B42" s="2">
        <v>47872.693500000001</v>
      </c>
      <c r="C42" s="2"/>
      <c r="D42" s="2"/>
      <c r="E42" s="2"/>
      <c r="F42" s="2"/>
    </row>
    <row r="43" spans="1:6" x14ac:dyDescent="0.25">
      <c r="A43" s="3" t="s">
        <v>37</v>
      </c>
      <c r="B43" s="2">
        <v>48004.299400000004</v>
      </c>
      <c r="C43" s="2"/>
      <c r="D43" s="2"/>
      <c r="E43" s="2"/>
      <c r="F43" s="2"/>
    </row>
    <row r="44" spans="1:6" x14ac:dyDescent="0.25">
      <c r="A44" s="3" t="s">
        <v>38</v>
      </c>
      <c r="B44" s="2">
        <v>47929.496400000004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8534.0534000000007</v>
      </c>
      <c r="C48" s="2">
        <v>0</v>
      </c>
      <c r="D48" s="2">
        <v>0</v>
      </c>
      <c r="E48" s="2">
        <v>0</v>
      </c>
      <c r="F48" s="2">
        <v>8534.0534000000007</v>
      </c>
    </row>
    <row r="49" spans="1:6" x14ac:dyDescent="0.25">
      <c r="A49" s="3" t="s">
        <v>43</v>
      </c>
      <c r="B49" s="2">
        <v>2058.29</v>
      </c>
      <c r="C49" s="2">
        <v>0</v>
      </c>
      <c r="D49" s="2">
        <v>0</v>
      </c>
      <c r="E49" s="2">
        <v>0</v>
      </c>
      <c r="F49" s="2">
        <v>2058.29</v>
      </c>
    </row>
    <row r="50" spans="1:6" x14ac:dyDescent="0.25">
      <c r="A50" s="3" t="s">
        <v>44</v>
      </c>
      <c r="B50" s="2">
        <v>2136.5104999999999</v>
      </c>
      <c r="C50" s="2">
        <v>0</v>
      </c>
      <c r="D50" s="2">
        <v>0</v>
      </c>
      <c r="E50" s="2">
        <v>0</v>
      </c>
      <c r="F50" s="2">
        <v>2136.5104999999999</v>
      </c>
    </row>
    <row r="51" spans="1:6" x14ac:dyDescent="0.25">
      <c r="A51" s="3" t="s">
        <v>45</v>
      </c>
      <c r="B51" s="2">
        <v>199.14599999999999</v>
      </c>
      <c r="C51" s="2">
        <v>0</v>
      </c>
      <c r="D51" s="2">
        <v>0</v>
      </c>
      <c r="E51" s="2">
        <v>0</v>
      </c>
      <c r="F51" s="2">
        <v>199.14599999999999</v>
      </c>
    </row>
    <row r="52" spans="1:6" x14ac:dyDescent="0.25">
      <c r="A52" s="3" t="s">
        <v>46</v>
      </c>
      <c r="B52" s="2">
        <v>12928</v>
      </c>
      <c r="C52" s="2">
        <v>0</v>
      </c>
      <c r="D52" s="2">
        <v>0</v>
      </c>
      <c r="E52" s="2">
        <v>0</v>
      </c>
      <c r="F52" s="2">
        <v>12928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5650.1929</v>
      </c>
      <c r="C56" s="2">
        <v>1350.5477000000001</v>
      </c>
      <c r="D56" s="2">
        <v>1401.3235999999999</v>
      </c>
      <c r="E56" s="2">
        <v>131.98929999999999</v>
      </c>
      <c r="F56" s="2">
        <v>8534.0534000000007</v>
      </c>
    </row>
    <row r="57" spans="1:6" x14ac:dyDescent="0.25">
      <c r="A57" s="3" t="s">
        <v>43</v>
      </c>
      <c r="B57" s="2">
        <v>1350.5477000000001</v>
      </c>
      <c r="C57" s="2">
        <v>331.71030000000002</v>
      </c>
      <c r="D57" s="2">
        <v>344.58479999999997</v>
      </c>
      <c r="E57" s="2">
        <v>31.447299999999998</v>
      </c>
      <c r="F57" s="2">
        <v>2058.29</v>
      </c>
    </row>
    <row r="58" spans="1:6" x14ac:dyDescent="0.25">
      <c r="A58" s="3" t="s">
        <v>44</v>
      </c>
      <c r="B58" s="2">
        <v>1401.3235999999999</v>
      </c>
      <c r="C58" s="2">
        <v>344.58479999999997</v>
      </c>
      <c r="D58" s="2">
        <v>357.97699999999998</v>
      </c>
      <c r="E58" s="2">
        <v>32.625</v>
      </c>
      <c r="F58" s="2">
        <v>2136.5104999999999</v>
      </c>
    </row>
    <row r="59" spans="1:6" x14ac:dyDescent="0.25">
      <c r="A59" s="3" t="s">
        <v>45</v>
      </c>
      <c r="B59" s="2">
        <v>131.98929999999999</v>
      </c>
      <c r="C59" s="2">
        <v>31.447299999999998</v>
      </c>
      <c r="D59" s="2">
        <v>32.625</v>
      </c>
      <c r="E59" s="2">
        <v>3.0844999999999998</v>
      </c>
      <c r="F59" s="2">
        <v>199.14599999999999</v>
      </c>
    </row>
    <row r="60" spans="1:6" x14ac:dyDescent="0.25">
      <c r="A60" s="3" t="s">
        <v>46</v>
      </c>
      <c r="B60" s="2">
        <v>8534.0534000000007</v>
      </c>
      <c r="C60" s="2">
        <v>2058.29</v>
      </c>
      <c r="D60" s="2">
        <v>2136.5104999999999</v>
      </c>
      <c r="E60" s="2">
        <v>199.14599999999999</v>
      </c>
      <c r="F60" s="2">
        <v>12928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0.33989999999999998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3.3E-3</v>
      </c>
      <c r="C65" s="2"/>
      <c r="D65" s="2"/>
      <c r="E65" s="2"/>
      <c r="F65" s="2"/>
    </row>
    <row r="66" spans="1:6" x14ac:dyDescent="0.25">
      <c r="A66" s="3" t="s">
        <v>33</v>
      </c>
      <c r="B66" s="2">
        <v>3.8999999999999998E-3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51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12928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695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695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7.8660000000000006E-12</v>
      </c>
      <c r="B114" s="4">
        <v>7.8660149999999996E-12</v>
      </c>
      <c r="C114" s="2"/>
      <c r="D114" s="2"/>
      <c r="E114" s="2"/>
      <c r="F114" s="2"/>
    </row>
    <row r="115" spans="1:6" x14ac:dyDescent="0.25">
      <c r="A115" s="5">
        <v>1.8309999999999999E-11</v>
      </c>
      <c r="B115" s="4">
        <v>1.8309181000000002E-11</v>
      </c>
      <c r="C115" s="2"/>
      <c r="D115" s="2"/>
      <c r="E115" s="2"/>
      <c r="F115" s="2"/>
    </row>
    <row r="116" spans="1:6" x14ac:dyDescent="0.25">
      <c r="A116" s="5">
        <v>2.6130000000000001E-11</v>
      </c>
      <c r="B116" s="4">
        <v>2.6131349000000001E-11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695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695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126</v>
      </c>
      <c r="B140" s="2" t="s">
        <v>127</v>
      </c>
      <c r="C140" s="2">
        <v>36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1</v>
      </c>
      <c r="B142" s="2">
        <v>1</v>
      </c>
      <c r="C142" s="2">
        <v>1</v>
      </c>
      <c r="D142" s="2"/>
      <c r="E142" s="2"/>
      <c r="F142" s="2"/>
    </row>
    <row r="143" spans="1:6" x14ac:dyDescent="0.25">
      <c r="A143" s="3">
        <v>2</v>
      </c>
      <c r="B143" s="2">
        <v>2</v>
      </c>
      <c r="C143" s="2">
        <v>2</v>
      </c>
      <c r="D143" s="2"/>
      <c r="E143" s="2"/>
      <c r="F143" s="2"/>
    </row>
    <row r="144" spans="1:6" x14ac:dyDescent="0.25">
      <c r="A144" s="3">
        <v>3</v>
      </c>
      <c r="B144" s="2">
        <v>3</v>
      </c>
      <c r="C144" s="2">
        <v>3</v>
      </c>
      <c r="D144" s="2"/>
      <c r="E144" s="2"/>
      <c r="F144" s="2"/>
    </row>
    <row r="145" spans="1:6" x14ac:dyDescent="0.25">
      <c r="A145" s="3">
        <v>4</v>
      </c>
      <c r="B145" s="2">
        <v>4</v>
      </c>
      <c r="C145" s="2">
        <v>4</v>
      </c>
      <c r="D145" s="2"/>
      <c r="E145" s="2"/>
      <c r="F145" s="2"/>
    </row>
    <row r="146" spans="1:6" x14ac:dyDescent="0.25">
      <c r="A146" s="3">
        <v>5</v>
      </c>
      <c r="B146" s="2">
        <v>5</v>
      </c>
      <c r="C146" s="2">
        <v>5</v>
      </c>
      <c r="D146" s="2"/>
      <c r="E146" s="2"/>
      <c r="F146" s="2"/>
    </row>
    <row r="147" spans="1:6" x14ac:dyDescent="0.25">
      <c r="A147" s="3">
        <v>6</v>
      </c>
      <c r="B147" s="2">
        <v>6</v>
      </c>
      <c r="C147" s="2">
        <v>6</v>
      </c>
      <c r="D147" s="2"/>
      <c r="E147" s="2"/>
      <c r="F147" s="2"/>
    </row>
    <row r="148" spans="1:6" x14ac:dyDescent="0.25">
      <c r="A148" s="3">
        <v>8</v>
      </c>
      <c r="B148" s="2">
        <v>8</v>
      </c>
      <c r="C148" s="2">
        <v>8</v>
      </c>
      <c r="D148" s="2"/>
      <c r="E148" s="2"/>
      <c r="F148" s="2"/>
    </row>
    <row r="149" spans="1:6" x14ac:dyDescent="0.25">
      <c r="A149" s="3">
        <v>10</v>
      </c>
      <c r="B149" s="2">
        <v>10</v>
      </c>
      <c r="C149" s="2">
        <v>10</v>
      </c>
      <c r="D149" s="2"/>
      <c r="E149" s="2"/>
      <c r="F149" s="2"/>
    </row>
    <row r="150" spans="1:6" x14ac:dyDescent="0.25">
      <c r="A150" s="3">
        <v>11</v>
      </c>
      <c r="B150" s="2">
        <v>11</v>
      </c>
      <c r="C150" s="2">
        <v>11</v>
      </c>
      <c r="D150" s="2"/>
      <c r="E150" s="2"/>
      <c r="F150" s="2"/>
    </row>
    <row r="151" spans="1:6" x14ac:dyDescent="0.25">
      <c r="A151" s="3">
        <v>15</v>
      </c>
      <c r="B151" s="2">
        <v>15</v>
      </c>
      <c r="C151" s="2">
        <v>15</v>
      </c>
      <c r="D151" s="2"/>
      <c r="E151" s="2"/>
      <c r="F151" s="2"/>
    </row>
    <row r="152" spans="1:6" x14ac:dyDescent="0.25">
      <c r="A152" s="3">
        <v>20</v>
      </c>
      <c r="B152" s="2">
        <v>20</v>
      </c>
      <c r="C152" s="2">
        <v>20</v>
      </c>
      <c r="D152" s="2"/>
      <c r="E152" s="2"/>
      <c r="F152" s="2"/>
    </row>
    <row r="153" spans="1:6" x14ac:dyDescent="0.25">
      <c r="A153" s="3">
        <v>22</v>
      </c>
      <c r="B153" s="2">
        <v>22</v>
      </c>
      <c r="C153" s="2">
        <v>22</v>
      </c>
      <c r="D153" s="2"/>
      <c r="E153" s="2"/>
      <c r="F153" s="2"/>
    </row>
    <row r="154" spans="1:6" x14ac:dyDescent="0.25">
      <c r="A154" s="3">
        <v>30</v>
      </c>
      <c r="B154" s="2">
        <v>30</v>
      </c>
      <c r="C154" s="2">
        <v>30</v>
      </c>
      <c r="D154" s="2"/>
      <c r="E154" s="2"/>
      <c r="F154" s="2"/>
    </row>
    <row r="155" spans="1:6" x14ac:dyDescent="0.25">
      <c r="A155" s="3">
        <v>40</v>
      </c>
      <c r="B155" s="2">
        <v>40</v>
      </c>
      <c r="C155" s="2">
        <v>40</v>
      </c>
      <c r="D155" s="2"/>
      <c r="E155" s="2"/>
      <c r="F155" s="2"/>
    </row>
    <row r="156" spans="1:6" x14ac:dyDescent="0.25">
      <c r="A156" s="3">
        <v>50</v>
      </c>
      <c r="B156" s="2">
        <v>50</v>
      </c>
      <c r="C156" s="2">
        <v>50</v>
      </c>
      <c r="D156" s="2"/>
      <c r="E156" s="2"/>
      <c r="F156" s="2"/>
    </row>
    <row r="157" spans="1:6" x14ac:dyDescent="0.25">
      <c r="A157" s="3">
        <v>60</v>
      </c>
      <c r="B157" s="2">
        <v>60</v>
      </c>
      <c r="C157" s="2">
        <v>60</v>
      </c>
      <c r="D157" s="2"/>
      <c r="E157" s="2"/>
      <c r="F157" s="2"/>
    </row>
    <row r="158" spans="1:6" x14ac:dyDescent="0.25">
      <c r="A158" s="3">
        <v>65</v>
      </c>
      <c r="B158" s="2">
        <v>65</v>
      </c>
      <c r="C158" s="2">
        <v>65</v>
      </c>
      <c r="D158" s="2"/>
      <c r="E158" s="2"/>
      <c r="F158" s="2"/>
    </row>
    <row r="159" spans="1:6" x14ac:dyDescent="0.25">
      <c r="A159" s="3">
        <v>68</v>
      </c>
      <c r="B159" s="2">
        <v>68</v>
      </c>
      <c r="C159" s="2">
        <v>68</v>
      </c>
      <c r="D159" s="2"/>
      <c r="E159" s="2"/>
      <c r="F159" s="2"/>
    </row>
    <row r="160" spans="1:6" x14ac:dyDescent="0.25">
      <c r="A160" s="3">
        <v>70</v>
      </c>
      <c r="B160" s="2">
        <v>70</v>
      </c>
      <c r="C160" s="2">
        <v>70</v>
      </c>
      <c r="D160" s="2"/>
      <c r="E160" s="2"/>
      <c r="F160" s="2"/>
    </row>
    <row r="161" spans="1:6" x14ac:dyDescent="0.25">
      <c r="A161" s="3">
        <v>75</v>
      </c>
      <c r="B161" s="2">
        <v>75</v>
      </c>
      <c r="C161" s="2">
        <v>75</v>
      </c>
      <c r="D161" s="2"/>
      <c r="E161" s="2"/>
      <c r="F161" s="2"/>
    </row>
    <row r="162" spans="1:6" x14ac:dyDescent="0.25">
      <c r="A162" s="3">
        <v>80</v>
      </c>
      <c r="B162" s="2">
        <v>80</v>
      </c>
      <c r="C162" s="2">
        <v>80</v>
      </c>
      <c r="D162" s="2"/>
      <c r="E162" s="2"/>
      <c r="F162" s="2"/>
    </row>
    <row r="163" spans="1:6" x14ac:dyDescent="0.25">
      <c r="A163" s="3">
        <v>82</v>
      </c>
      <c r="B163" s="2">
        <v>82</v>
      </c>
      <c r="C163" s="2">
        <v>82</v>
      </c>
      <c r="D163" s="2"/>
      <c r="E163" s="2"/>
      <c r="F163" s="2"/>
    </row>
    <row r="164" spans="1:6" x14ac:dyDescent="0.25">
      <c r="A164" s="3">
        <v>85</v>
      </c>
      <c r="B164" s="2">
        <v>85</v>
      </c>
      <c r="C164" s="2">
        <v>85</v>
      </c>
      <c r="D164" s="2"/>
      <c r="E164" s="2"/>
      <c r="F164" s="2"/>
    </row>
    <row r="165" spans="1:6" x14ac:dyDescent="0.25">
      <c r="A165" s="3">
        <v>87</v>
      </c>
      <c r="B165" s="2">
        <v>87</v>
      </c>
      <c r="C165" s="2">
        <v>87</v>
      </c>
      <c r="D165" s="2"/>
      <c r="E165" s="2"/>
      <c r="F165" s="2"/>
    </row>
    <row r="166" spans="1:6" x14ac:dyDescent="0.25">
      <c r="A166" s="3">
        <v>90</v>
      </c>
      <c r="B166" s="2">
        <v>90</v>
      </c>
      <c r="C166" s="2">
        <v>90</v>
      </c>
      <c r="D166" s="2"/>
      <c r="E166" s="2"/>
      <c r="F166" s="2"/>
    </row>
    <row r="167" spans="1:6" x14ac:dyDescent="0.25">
      <c r="A167" s="3">
        <v>91</v>
      </c>
      <c r="B167" s="2">
        <v>91</v>
      </c>
      <c r="C167" s="2">
        <v>91</v>
      </c>
      <c r="D167" s="2"/>
      <c r="E167" s="2"/>
      <c r="F167" s="2"/>
    </row>
    <row r="168" spans="1:6" x14ac:dyDescent="0.25">
      <c r="A168" s="3">
        <v>92</v>
      </c>
      <c r="B168" s="2">
        <v>92</v>
      </c>
      <c r="C168" s="2">
        <v>92</v>
      </c>
      <c r="D168" s="2"/>
      <c r="E168" s="2"/>
      <c r="F168" s="2"/>
    </row>
    <row r="169" spans="1:6" x14ac:dyDescent="0.25">
      <c r="A169" s="3">
        <v>93</v>
      </c>
      <c r="B169" s="2">
        <v>93</v>
      </c>
      <c r="C169" s="2">
        <v>93</v>
      </c>
      <c r="D169" s="2"/>
      <c r="E169" s="2"/>
      <c r="F169" s="2"/>
    </row>
    <row r="170" spans="1:6" x14ac:dyDescent="0.25">
      <c r="A170" s="3">
        <v>94</v>
      </c>
      <c r="B170" s="2">
        <v>94</v>
      </c>
      <c r="C170" s="2">
        <v>94</v>
      </c>
      <c r="D170" s="2"/>
      <c r="E170" s="2"/>
      <c r="F170" s="2"/>
    </row>
    <row r="171" spans="1:6" x14ac:dyDescent="0.25">
      <c r="A171" s="3">
        <v>95</v>
      </c>
      <c r="B171" s="2">
        <v>95</v>
      </c>
      <c r="C171" s="2">
        <v>95</v>
      </c>
      <c r="D171" s="2"/>
      <c r="E171" s="2"/>
      <c r="F171" s="2"/>
    </row>
    <row r="172" spans="1:6" x14ac:dyDescent="0.25">
      <c r="A172" s="3">
        <v>96</v>
      </c>
      <c r="B172" s="2">
        <v>96</v>
      </c>
      <c r="C172" s="2">
        <v>96</v>
      </c>
      <c r="D172" s="2"/>
      <c r="E172" s="2"/>
      <c r="F172" s="2"/>
    </row>
    <row r="173" spans="1:6" x14ac:dyDescent="0.25">
      <c r="A173" s="3">
        <v>97</v>
      </c>
      <c r="B173" s="2">
        <v>97</v>
      </c>
      <c r="C173" s="2">
        <v>97</v>
      </c>
      <c r="D173" s="2"/>
      <c r="E173" s="2"/>
      <c r="F173" s="2"/>
    </row>
    <row r="174" spans="1:6" x14ac:dyDescent="0.25">
      <c r="A174" s="3">
        <v>98</v>
      </c>
      <c r="B174" s="2">
        <v>98</v>
      </c>
      <c r="C174" s="2">
        <v>98</v>
      </c>
      <c r="D174" s="2"/>
      <c r="E174" s="2"/>
      <c r="F174" s="2"/>
    </row>
    <row r="175" spans="1:6" x14ac:dyDescent="0.25">
      <c r="A175" s="3">
        <v>99</v>
      </c>
      <c r="B175" s="2">
        <v>99</v>
      </c>
      <c r="C175" s="2">
        <v>99</v>
      </c>
      <c r="D175" s="2"/>
      <c r="E175" s="2"/>
      <c r="F175" s="2"/>
    </row>
    <row r="176" spans="1:6" x14ac:dyDescent="0.25">
      <c r="A176" s="3">
        <v>100</v>
      </c>
      <c r="B176" s="2">
        <v>100</v>
      </c>
      <c r="C176" s="2">
        <v>100</v>
      </c>
      <c r="D176" s="2"/>
      <c r="E176" s="2"/>
      <c r="F176" s="2"/>
    </row>
    <row r="178" spans="1:16" ht="18.75" x14ac:dyDescent="0.25">
      <c r="A178" s="1" t="s">
        <v>102</v>
      </c>
    </row>
    <row r="180" spans="1:16" x14ac:dyDescent="0.25">
      <c r="A180" s="3" t="s">
        <v>103</v>
      </c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3" t="s">
        <v>104</v>
      </c>
      <c r="B181" s="3" t="s">
        <v>42</v>
      </c>
      <c r="C181" s="3" t="s">
        <v>105</v>
      </c>
      <c r="D181" s="3" t="s">
        <v>123</v>
      </c>
      <c r="E181" s="3" t="s">
        <v>43</v>
      </c>
      <c r="F181" s="3" t="s">
        <v>105</v>
      </c>
      <c r="G181" s="3" t="s">
        <v>123</v>
      </c>
      <c r="H181" s="3" t="s">
        <v>44</v>
      </c>
      <c r="I181" s="3" t="s">
        <v>105</v>
      </c>
      <c r="J181" s="3" t="s">
        <v>123</v>
      </c>
      <c r="K181" s="3" t="s">
        <v>45</v>
      </c>
      <c r="L181" s="3" t="s">
        <v>105</v>
      </c>
      <c r="M181" s="3" t="s">
        <v>123</v>
      </c>
      <c r="N181" s="3" t="s">
        <v>106</v>
      </c>
      <c r="O181" s="3" t="s">
        <v>9</v>
      </c>
      <c r="P181" s="2"/>
    </row>
    <row r="182" spans="1:16" x14ac:dyDescent="0.25">
      <c r="A182" s="3"/>
      <c r="B182" s="2">
        <v>1.391</v>
      </c>
      <c r="C182" s="2">
        <v>0.1956</v>
      </c>
      <c r="D182" s="2">
        <v>7.1101999999999999</v>
      </c>
      <c r="E182" s="2">
        <v>0.49959999999999999</v>
      </c>
      <c r="F182" s="2">
        <v>0.2397</v>
      </c>
      <c r="G182" s="2">
        <v>2.0838999999999999</v>
      </c>
      <c r="H182" s="2">
        <v>0.55559999999999998</v>
      </c>
      <c r="I182" s="2">
        <v>0.23280000000000001</v>
      </c>
      <c r="J182" s="2">
        <v>2.3866999999999998</v>
      </c>
      <c r="K182" s="2">
        <v>-2.4462000000000002</v>
      </c>
      <c r="L182" s="2">
        <v>0.3831</v>
      </c>
      <c r="M182" s="2">
        <v>-6.3856000000000002</v>
      </c>
      <c r="N182" s="2">
        <v>58.8917</v>
      </c>
      <c r="O182" s="4">
        <v>9.9999999999999998E-13</v>
      </c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3" t="s">
        <v>107</v>
      </c>
      <c r="B184" s="3" t="s">
        <v>42</v>
      </c>
      <c r="C184" s="3" t="s">
        <v>105</v>
      </c>
      <c r="D184" s="3" t="s">
        <v>123</v>
      </c>
      <c r="E184" s="3" t="s">
        <v>43</v>
      </c>
      <c r="F184" s="3" t="s">
        <v>105</v>
      </c>
      <c r="G184" s="3" t="s">
        <v>123</v>
      </c>
      <c r="H184" s="3" t="s">
        <v>44</v>
      </c>
      <c r="I184" s="3" t="s">
        <v>105</v>
      </c>
      <c r="J184" s="3" t="s">
        <v>123</v>
      </c>
      <c r="K184" s="3" t="s">
        <v>45</v>
      </c>
      <c r="L184" s="3" t="s">
        <v>105</v>
      </c>
      <c r="M184" s="3" t="s">
        <v>123</v>
      </c>
      <c r="N184" s="3" t="s">
        <v>106</v>
      </c>
      <c r="O184" s="3" t="s">
        <v>9</v>
      </c>
      <c r="P184" s="2"/>
    </row>
    <row r="185" spans="1:16" x14ac:dyDescent="0.25">
      <c r="A185" s="3" t="s">
        <v>126</v>
      </c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>
        <v>3.0000000000000001E-3</v>
      </c>
      <c r="C186" s="2">
        <v>2.3999999999999998E-3</v>
      </c>
      <c r="D186" s="2">
        <v>1.2376</v>
      </c>
      <c r="E186" s="2">
        <v>-3.3E-3</v>
      </c>
      <c r="F186" s="2">
        <v>2.8999999999999998E-3</v>
      </c>
      <c r="G186" s="2">
        <v>-1.1540999999999999</v>
      </c>
      <c r="H186" s="2">
        <v>-3.5000000000000001E-3</v>
      </c>
      <c r="I186" s="2">
        <v>2.7000000000000001E-3</v>
      </c>
      <c r="J186" s="2">
        <v>-1.2912999999999999</v>
      </c>
      <c r="K186" s="2">
        <v>3.8999999999999998E-3</v>
      </c>
      <c r="L186" s="2">
        <v>5.0000000000000001E-3</v>
      </c>
      <c r="M186" s="2">
        <v>0.77859999999999996</v>
      </c>
      <c r="N186" s="2">
        <v>5.6181000000000001</v>
      </c>
      <c r="O186" s="2">
        <v>0.13</v>
      </c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9" spans="1:16" ht="18.75" x14ac:dyDescent="0.25">
      <c r="A189" s="1" t="s">
        <v>108</v>
      </c>
    </row>
    <row r="191" spans="1:16" x14ac:dyDescent="0.25">
      <c r="A191" s="3" t="s">
        <v>103</v>
      </c>
      <c r="B191" s="3"/>
      <c r="C191" s="3"/>
      <c r="D191" s="3" t="s">
        <v>106</v>
      </c>
      <c r="E191" s="3" t="s">
        <v>109</v>
      </c>
      <c r="F191" s="3" t="s">
        <v>9</v>
      </c>
    </row>
    <row r="192" spans="1:16" x14ac:dyDescent="0.25">
      <c r="A192" s="3" t="s">
        <v>104</v>
      </c>
      <c r="B192" s="2"/>
      <c r="C192" s="2"/>
      <c r="D192" s="2"/>
      <c r="E192" s="2"/>
      <c r="F192" s="2"/>
    </row>
    <row r="193" spans="1:6" x14ac:dyDescent="0.25">
      <c r="A193" s="3" t="s">
        <v>110</v>
      </c>
      <c r="B193" s="3">
        <v>1</v>
      </c>
      <c r="C193" s="3">
        <v>2</v>
      </c>
      <c r="D193" s="2">
        <v>8.4230999999999998</v>
      </c>
      <c r="E193" s="2">
        <v>1</v>
      </c>
      <c r="F193" s="2">
        <v>3.7000000000000002E-3</v>
      </c>
    </row>
    <row r="194" spans="1:6" x14ac:dyDescent="0.25">
      <c r="A194" s="3" t="s">
        <v>110</v>
      </c>
      <c r="B194" s="3">
        <v>1</v>
      </c>
      <c r="C194" s="3">
        <v>3</v>
      </c>
      <c r="D194" s="2">
        <v>8.1018000000000008</v>
      </c>
      <c r="E194" s="2">
        <v>1</v>
      </c>
      <c r="F194" s="2">
        <v>4.4000000000000003E-3</v>
      </c>
    </row>
    <row r="195" spans="1:6" x14ac:dyDescent="0.25">
      <c r="A195" s="3" t="s">
        <v>110</v>
      </c>
      <c r="B195" s="3">
        <v>1</v>
      </c>
      <c r="C195" s="3">
        <v>4</v>
      </c>
      <c r="D195" s="2">
        <v>54.674999999999997</v>
      </c>
      <c r="E195" s="2">
        <v>1</v>
      </c>
      <c r="F195" s="4">
        <v>1.4000000000000001E-13</v>
      </c>
    </row>
    <row r="196" spans="1:6" x14ac:dyDescent="0.25">
      <c r="A196" s="3" t="s">
        <v>110</v>
      </c>
      <c r="B196" s="3">
        <v>2</v>
      </c>
      <c r="C196" s="3">
        <v>3</v>
      </c>
      <c r="D196" s="2">
        <v>2.5600000000000001E-2</v>
      </c>
      <c r="E196" s="2">
        <v>1</v>
      </c>
      <c r="F196" s="2">
        <v>0.87</v>
      </c>
    </row>
    <row r="197" spans="1:6" x14ac:dyDescent="0.25">
      <c r="A197" s="3" t="s">
        <v>110</v>
      </c>
      <c r="B197" s="3">
        <v>2</v>
      </c>
      <c r="C197" s="3">
        <v>4</v>
      </c>
      <c r="D197" s="2">
        <v>28.023800000000001</v>
      </c>
      <c r="E197" s="2">
        <v>1</v>
      </c>
      <c r="F197" s="4">
        <v>1.1999999999999999E-7</v>
      </c>
    </row>
    <row r="198" spans="1:6" x14ac:dyDescent="0.25">
      <c r="A198" s="3" t="s">
        <v>110</v>
      </c>
      <c r="B198" s="3">
        <v>3</v>
      </c>
      <c r="C198" s="3">
        <v>4</v>
      </c>
      <c r="D198" s="2">
        <v>29.5684</v>
      </c>
      <c r="E198" s="2">
        <v>1</v>
      </c>
      <c r="F198" s="4">
        <v>5.4E-8</v>
      </c>
    </row>
    <row r="199" spans="1:6" x14ac:dyDescent="0.25">
      <c r="A199" s="3" t="s">
        <v>126</v>
      </c>
      <c r="B199" s="2"/>
      <c r="C199" s="2"/>
      <c r="D199" s="2"/>
      <c r="E199" s="2"/>
      <c r="F199" s="2"/>
    </row>
    <row r="200" spans="1:6" x14ac:dyDescent="0.25">
      <c r="A200" s="3" t="s">
        <v>110</v>
      </c>
      <c r="B200" s="3">
        <v>1</v>
      </c>
      <c r="C200" s="3">
        <v>2</v>
      </c>
      <c r="D200" s="2">
        <v>3.0857999999999999</v>
      </c>
      <c r="E200" s="2">
        <v>1</v>
      </c>
      <c r="F200" s="2">
        <v>7.9000000000000001E-2</v>
      </c>
    </row>
    <row r="201" spans="1:6" x14ac:dyDescent="0.25">
      <c r="A201" s="3" t="s">
        <v>110</v>
      </c>
      <c r="B201" s="3">
        <v>1</v>
      </c>
      <c r="C201" s="3">
        <v>3</v>
      </c>
      <c r="D201" s="2">
        <v>3.8841999999999999</v>
      </c>
      <c r="E201" s="2">
        <v>1</v>
      </c>
      <c r="F201" s="2">
        <v>4.9000000000000002E-2</v>
      </c>
    </row>
    <row r="202" spans="1:6" x14ac:dyDescent="0.25">
      <c r="A202" s="3" t="s">
        <v>110</v>
      </c>
      <c r="B202" s="3">
        <v>1</v>
      </c>
      <c r="C202" s="3">
        <v>4</v>
      </c>
      <c r="D202" s="2">
        <v>1.84E-2</v>
      </c>
      <c r="E202" s="2">
        <v>1</v>
      </c>
      <c r="F202" s="2">
        <v>0.89</v>
      </c>
    </row>
    <row r="203" spans="1:6" x14ac:dyDescent="0.25">
      <c r="A203" s="3" t="s">
        <v>110</v>
      </c>
      <c r="B203" s="3">
        <v>2</v>
      </c>
      <c r="C203" s="3">
        <v>3</v>
      </c>
      <c r="D203" s="2">
        <v>3.3E-3</v>
      </c>
      <c r="E203" s="2">
        <v>1</v>
      </c>
      <c r="F203" s="2">
        <v>0.95</v>
      </c>
    </row>
    <row r="204" spans="1:6" x14ac:dyDescent="0.25">
      <c r="A204" s="3" t="s">
        <v>110</v>
      </c>
      <c r="B204" s="3">
        <v>2</v>
      </c>
      <c r="C204" s="3">
        <v>4</v>
      </c>
      <c r="D204" s="2">
        <v>1.0232000000000001</v>
      </c>
      <c r="E204" s="2">
        <v>1</v>
      </c>
      <c r="F204" s="2">
        <v>0.31</v>
      </c>
    </row>
    <row r="205" spans="1:6" x14ac:dyDescent="0.25">
      <c r="A205" s="3" t="s">
        <v>110</v>
      </c>
      <c r="B205" s="3">
        <v>3</v>
      </c>
      <c r="C205" s="3">
        <v>4</v>
      </c>
      <c r="D205" s="2">
        <v>1.111</v>
      </c>
      <c r="E205" s="2">
        <v>1</v>
      </c>
      <c r="F205" s="2">
        <v>0.28999999999999998</v>
      </c>
    </row>
    <row r="207" spans="1:6" ht="18.75" x14ac:dyDescent="0.25">
      <c r="A207" s="1" t="s">
        <v>111</v>
      </c>
    </row>
    <row r="209" spans="1:9" x14ac:dyDescent="0.25">
      <c r="A209" s="2"/>
      <c r="B209" s="3" t="s">
        <v>42</v>
      </c>
      <c r="C209" s="3" t="s">
        <v>105</v>
      </c>
      <c r="D209" s="3" t="s">
        <v>43</v>
      </c>
      <c r="E209" s="3" t="s">
        <v>105</v>
      </c>
      <c r="F209" s="3" t="s">
        <v>44</v>
      </c>
      <c r="G209" s="3" t="s">
        <v>105</v>
      </c>
      <c r="H209" s="3" t="s">
        <v>45</v>
      </c>
      <c r="I209" s="3" t="s">
        <v>105</v>
      </c>
    </row>
    <row r="210" spans="1:9" x14ac:dyDescent="0.25">
      <c r="A210" s="3" t="s">
        <v>112</v>
      </c>
      <c r="B210" s="2">
        <v>0.66010000000000002</v>
      </c>
      <c r="C210" s="2">
        <v>1.9099999999999999E-2</v>
      </c>
      <c r="D210" s="2">
        <v>0.15920000000000001</v>
      </c>
      <c r="E210" s="2">
        <v>1.6E-2</v>
      </c>
      <c r="F210" s="2">
        <v>0.1653</v>
      </c>
      <c r="G210" s="2">
        <v>1.4500000000000001E-2</v>
      </c>
      <c r="H210" s="2">
        <v>1.54E-2</v>
      </c>
      <c r="I210" s="2">
        <v>4.4000000000000003E-3</v>
      </c>
    </row>
    <row r="211" spans="1:9" x14ac:dyDescent="0.25">
      <c r="A211" s="3" t="s">
        <v>107</v>
      </c>
      <c r="B211" s="2"/>
      <c r="C211" s="2"/>
      <c r="D211" s="2"/>
      <c r="E211" s="2"/>
      <c r="F211" s="2"/>
      <c r="G211" s="2"/>
      <c r="H211" s="2"/>
      <c r="I211" s="2"/>
    </row>
    <row r="212" spans="1:9" x14ac:dyDescent="0.25">
      <c r="A212" s="3" t="s">
        <v>126</v>
      </c>
      <c r="B212" s="2"/>
      <c r="C212" s="2"/>
      <c r="D212" s="2"/>
      <c r="E212" s="2"/>
      <c r="F212" s="2"/>
      <c r="G212" s="2"/>
      <c r="H212" s="2"/>
      <c r="I212" s="2"/>
    </row>
    <row r="213" spans="1:9" x14ac:dyDescent="0.25">
      <c r="A213" s="10">
        <v>43121</v>
      </c>
      <c r="B213" s="2">
        <v>0.15240000000000001</v>
      </c>
      <c r="C213" s="2" t="s">
        <v>11</v>
      </c>
      <c r="D213" s="2">
        <v>0.2051</v>
      </c>
      <c r="E213" s="2" t="s">
        <v>11</v>
      </c>
      <c r="F213" s="2">
        <v>0.20730000000000001</v>
      </c>
      <c r="G213" s="2" t="s">
        <v>11</v>
      </c>
      <c r="H213" s="2">
        <v>0.14599999999999999</v>
      </c>
      <c r="I213" s="2" t="s">
        <v>11</v>
      </c>
    </row>
    <row r="214" spans="1:9" x14ac:dyDescent="0.25">
      <c r="A214" s="3" t="s">
        <v>128</v>
      </c>
      <c r="B214" s="2">
        <v>0.2482</v>
      </c>
      <c r="C214" s="2" t="s">
        <v>11</v>
      </c>
      <c r="D214" s="2">
        <v>0.24709999999999999</v>
      </c>
      <c r="E214" s="2" t="s">
        <v>11</v>
      </c>
      <c r="F214" s="2">
        <v>0.24690000000000001</v>
      </c>
      <c r="G214" s="2" t="s">
        <v>11</v>
      </c>
      <c r="H214" s="2">
        <v>0.24779999999999999</v>
      </c>
      <c r="I214" s="2" t="s">
        <v>11</v>
      </c>
    </row>
    <row r="215" spans="1:9" x14ac:dyDescent="0.25">
      <c r="A215" s="3" t="s">
        <v>129</v>
      </c>
      <c r="B215" s="2">
        <v>0.1467</v>
      </c>
      <c r="C215" s="2" t="s">
        <v>11</v>
      </c>
      <c r="D215" s="2">
        <v>0.13650000000000001</v>
      </c>
      <c r="E215" s="2" t="s">
        <v>11</v>
      </c>
      <c r="F215" s="2">
        <v>0.13600000000000001</v>
      </c>
      <c r="G215" s="2" t="s">
        <v>11</v>
      </c>
      <c r="H215" s="2">
        <v>0.14799999999999999</v>
      </c>
      <c r="I215" s="2" t="s">
        <v>11</v>
      </c>
    </row>
    <row r="216" spans="1:9" x14ac:dyDescent="0.25">
      <c r="A216" s="3" t="s">
        <v>130</v>
      </c>
      <c r="B216" s="2">
        <v>0.45269999999999999</v>
      </c>
      <c r="C216" s="2" t="s">
        <v>11</v>
      </c>
      <c r="D216" s="2">
        <v>0.41139999999999999</v>
      </c>
      <c r="E216" s="2" t="s">
        <v>11</v>
      </c>
      <c r="F216" s="2">
        <v>0.40970000000000001</v>
      </c>
      <c r="G216" s="2" t="s">
        <v>11</v>
      </c>
      <c r="H216" s="2">
        <v>0.4582</v>
      </c>
      <c r="I216" s="2" t="s">
        <v>11</v>
      </c>
    </row>
    <row r="217" spans="1:9" x14ac:dyDescent="0.25">
      <c r="A217" s="3" t="s">
        <v>131</v>
      </c>
      <c r="B217" s="2">
        <v>86.6738</v>
      </c>
      <c r="C217" s="2" t="s">
        <v>11</v>
      </c>
      <c r="D217" s="2">
        <v>82.528199999999998</v>
      </c>
      <c r="E217" s="2" t="s">
        <v>11</v>
      </c>
      <c r="F217" s="2">
        <v>82.3489</v>
      </c>
      <c r="G217" s="2" t="s">
        <v>11</v>
      </c>
      <c r="H217" s="2">
        <v>87.165000000000006</v>
      </c>
      <c r="I217" s="2" t="s">
        <v>11</v>
      </c>
    </row>
    <row r="219" spans="1:9" ht="18.75" x14ac:dyDescent="0.25">
      <c r="A219" s="1" t="s">
        <v>113</v>
      </c>
    </row>
    <row r="221" spans="1:9" x14ac:dyDescent="0.25">
      <c r="A221" s="2"/>
      <c r="B221" s="3" t="s">
        <v>42</v>
      </c>
      <c r="C221" s="3" t="s">
        <v>43</v>
      </c>
      <c r="D221" s="3" t="s">
        <v>44</v>
      </c>
      <c r="E221" s="3" t="s">
        <v>45</v>
      </c>
    </row>
    <row r="222" spans="1:9" x14ac:dyDescent="0.25">
      <c r="A222" s="3" t="s">
        <v>114</v>
      </c>
      <c r="B222" s="2">
        <v>0.66010000000000002</v>
      </c>
      <c r="C222" s="2">
        <v>0.15920000000000001</v>
      </c>
      <c r="D222" s="2">
        <v>0.1653</v>
      </c>
      <c r="E222" s="2">
        <v>1.54E-2</v>
      </c>
    </row>
    <row r="223" spans="1:9" x14ac:dyDescent="0.25">
      <c r="A223" s="3" t="s">
        <v>107</v>
      </c>
      <c r="B223" s="2"/>
      <c r="C223" s="2"/>
      <c r="D223" s="2"/>
      <c r="E223" s="2"/>
    </row>
    <row r="224" spans="1:9" x14ac:dyDescent="0.25">
      <c r="A224" s="3" t="s">
        <v>126</v>
      </c>
      <c r="B224" s="2"/>
      <c r="C224" s="2"/>
      <c r="D224" s="2"/>
      <c r="E224" s="2"/>
    </row>
    <row r="225" spans="1:9" x14ac:dyDescent="0.25">
      <c r="A225" s="10">
        <v>43121</v>
      </c>
      <c r="B225" s="2">
        <v>0.59189999999999998</v>
      </c>
      <c r="C225" s="2">
        <v>0.19270000000000001</v>
      </c>
      <c r="D225" s="2">
        <v>0.20219999999999999</v>
      </c>
      <c r="E225" s="2">
        <v>1.32E-2</v>
      </c>
    </row>
    <row r="226" spans="1:9" x14ac:dyDescent="0.25">
      <c r="A226" s="3" t="s">
        <v>128</v>
      </c>
      <c r="B226" s="2">
        <v>0.66120000000000001</v>
      </c>
      <c r="C226" s="2">
        <v>0.15870000000000001</v>
      </c>
      <c r="D226" s="2">
        <v>0.1646</v>
      </c>
      <c r="E226" s="2">
        <v>1.54E-2</v>
      </c>
    </row>
    <row r="227" spans="1:9" x14ac:dyDescent="0.25">
      <c r="A227" s="3" t="s">
        <v>129</v>
      </c>
      <c r="B227" s="2">
        <v>0.67569999999999997</v>
      </c>
      <c r="C227" s="2">
        <v>0.15160000000000001</v>
      </c>
      <c r="D227" s="2">
        <v>0.15679999999999999</v>
      </c>
      <c r="E227" s="2">
        <v>1.5900000000000001E-2</v>
      </c>
    </row>
    <row r="228" spans="1:9" x14ac:dyDescent="0.25">
      <c r="A228" s="3" t="s">
        <v>130</v>
      </c>
      <c r="B228" s="2">
        <v>0.68059999999999998</v>
      </c>
      <c r="C228" s="2">
        <v>0.1492</v>
      </c>
      <c r="D228" s="2">
        <v>0.1542</v>
      </c>
      <c r="E228" s="2">
        <v>1.61E-2</v>
      </c>
    </row>
    <row r="230" spans="1:9" ht="18.75" x14ac:dyDescent="0.25">
      <c r="A230" s="1" t="s">
        <v>115</v>
      </c>
    </row>
    <row r="232" spans="1:9" x14ac:dyDescent="0.25">
      <c r="A232" s="2"/>
      <c r="B232" s="35" t="s">
        <v>110</v>
      </c>
      <c r="C232" s="36"/>
      <c r="D232" s="36"/>
      <c r="E232" s="36"/>
      <c r="F232" s="36"/>
      <c r="G232" s="36"/>
      <c r="H232" s="36"/>
      <c r="I232" s="37"/>
    </row>
    <row r="233" spans="1:9" x14ac:dyDescent="0.25">
      <c r="A233" s="3" t="s">
        <v>126</v>
      </c>
      <c r="B233" s="3">
        <v>1</v>
      </c>
      <c r="C233" s="3" t="s">
        <v>105</v>
      </c>
      <c r="D233" s="3">
        <v>2</v>
      </c>
      <c r="E233" s="3" t="s">
        <v>105</v>
      </c>
      <c r="F233" s="3">
        <v>3</v>
      </c>
      <c r="G233" s="3" t="s">
        <v>105</v>
      </c>
      <c r="H233" s="3">
        <v>4</v>
      </c>
      <c r="I233" s="3" t="s">
        <v>105</v>
      </c>
    </row>
    <row r="234" spans="1:9" x14ac:dyDescent="0.25">
      <c r="A234" s="3">
        <v>0</v>
      </c>
      <c r="B234" s="2">
        <v>0.53610000000000002</v>
      </c>
      <c r="C234" s="2">
        <v>5.9900000000000002E-2</v>
      </c>
      <c r="D234" s="2">
        <v>0.2198</v>
      </c>
      <c r="E234" s="2">
        <v>4.9799999999999997E-2</v>
      </c>
      <c r="F234" s="2">
        <v>0.23250000000000001</v>
      </c>
      <c r="G234" s="2">
        <v>4.9500000000000002E-2</v>
      </c>
      <c r="H234" s="2">
        <v>1.1599999999999999E-2</v>
      </c>
      <c r="I234" s="2">
        <v>5.7999999999999996E-3</v>
      </c>
    </row>
    <row r="235" spans="1:9" x14ac:dyDescent="0.25">
      <c r="A235" s="3">
        <v>1</v>
      </c>
      <c r="B235" s="2">
        <v>0.53759999999999997</v>
      </c>
      <c r="C235" s="2">
        <v>5.9200000000000003E-2</v>
      </c>
      <c r="D235" s="2">
        <v>0.21909999999999999</v>
      </c>
      <c r="E235" s="2">
        <v>4.9099999999999998E-2</v>
      </c>
      <c r="F235" s="2">
        <v>0.23169999999999999</v>
      </c>
      <c r="G235" s="2">
        <v>4.8800000000000003E-2</v>
      </c>
      <c r="H235" s="2">
        <v>1.1599999999999999E-2</v>
      </c>
      <c r="I235" s="2">
        <v>5.7999999999999996E-3</v>
      </c>
    </row>
    <row r="236" spans="1:9" x14ac:dyDescent="0.25">
      <c r="A236" s="3">
        <v>2</v>
      </c>
      <c r="B236" s="2">
        <v>0.53920000000000001</v>
      </c>
      <c r="C236" s="2">
        <v>5.8599999999999999E-2</v>
      </c>
      <c r="D236" s="2">
        <v>0.21829999999999999</v>
      </c>
      <c r="E236" s="2">
        <v>4.8500000000000001E-2</v>
      </c>
      <c r="F236" s="2">
        <v>0.23080000000000001</v>
      </c>
      <c r="G236" s="2">
        <v>4.82E-2</v>
      </c>
      <c r="H236" s="2">
        <v>1.1599999999999999E-2</v>
      </c>
      <c r="I236" s="2">
        <v>5.7000000000000002E-3</v>
      </c>
    </row>
    <row r="237" spans="1:9" x14ac:dyDescent="0.25">
      <c r="A237" s="3">
        <v>3</v>
      </c>
      <c r="B237" s="2">
        <v>0.54069999999999996</v>
      </c>
      <c r="C237" s="2">
        <v>5.79E-2</v>
      </c>
      <c r="D237" s="2">
        <v>0.21759999999999999</v>
      </c>
      <c r="E237" s="2">
        <v>4.7899999999999998E-2</v>
      </c>
      <c r="F237" s="2">
        <v>0.23</v>
      </c>
      <c r="G237" s="2">
        <v>4.7600000000000003E-2</v>
      </c>
      <c r="H237" s="2">
        <v>1.17E-2</v>
      </c>
      <c r="I237" s="2">
        <v>5.7000000000000002E-3</v>
      </c>
    </row>
    <row r="238" spans="1:9" x14ac:dyDescent="0.25">
      <c r="A238" s="3">
        <v>4</v>
      </c>
      <c r="B238" s="2">
        <v>0.5423</v>
      </c>
      <c r="C238" s="2">
        <v>5.7200000000000001E-2</v>
      </c>
      <c r="D238" s="2">
        <v>0.21690000000000001</v>
      </c>
      <c r="E238" s="2">
        <v>4.7199999999999999E-2</v>
      </c>
      <c r="F238" s="2">
        <v>0.22919999999999999</v>
      </c>
      <c r="G238" s="2">
        <v>4.6899999999999997E-2</v>
      </c>
      <c r="H238" s="2">
        <v>1.17E-2</v>
      </c>
      <c r="I238" s="2">
        <v>5.5999999999999999E-3</v>
      </c>
    </row>
    <row r="239" spans="1:9" x14ac:dyDescent="0.25">
      <c r="A239" s="3">
        <v>5</v>
      </c>
      <c r="B239" s="2">
        <v>0.54379999999999995</v>
      </c>
      <c r="C239" s="2">
        <v>5.6500000000000002E-2</v>
      </c>
      <c r="D239" s="2">
        <v>0.21609999999999999</v>
      </c>
      <c r="E239" s="2">
        <v>4.6600000000000003E-2</v>
      </c>
      <c r="F239" s="2">
        <v>0.2283</v>
      </c>
      <c r="G239" s="2">
        <v>4.6300000000000001E-2</v>
      </c>
      <c r="H239" s="2">
        <v>1.18E-2</v>
      </c>
      <c r="I239" s="2">
        <v>5.5999999999999999E-3</v>
      </c>
    </row>
    <row r="240" spans="1:9" x14ac:dyDescent="0.25">
      <c r="A240" s="3">
        <v>6</v>
      </c>
      <c r="B240" s="2">
        <v>0.54530000000000001</v>
      </c>
      <c r="C240" s="2">
        <v>5.5899999999999998E-2</v>
      </c>
      <c r="D240" s="2">
        <v>0.21540000000000001</v>
      </c>
      <c r="E240" s="2">
        <v>4.5999999999999999E-2</v>
      </c>
      <c r="F240" s="2">
        <v>0.22750000000000001</v>
      </c>
      <c r="G240" s="2">
        <v>4.5699999999999998E-2</v>
      </c>
      <c r="H240" s="2">
        <v>1.18E-2</v>
      </c>
      <c r="I240" s="2">
        <v>5.4999999999999997E-3</v>
      </c>
    </row>
    <row r="241" spans="1:9" x14ac:dyDescent="0.25">
      <c r="A241" s="3">
        <v>8</v>
      </c>
      <c r="B241" s="2">
        <v>0.5484</v>
      </c>
      <c r="C241" s="2">
        <v>5.45E-2</v>
      </c>
      <c r="D241" s="2">
        <v>0.21390000000000001</v>
      </c>
      <c r="E241" s="2">
        <v>4.4699999999999997E-2</v>
      </c>
      <c r="F241" s="2">
        <v>0.2258</v>
      </c>
      <c r="G241" s="2">
        <v>4.4499999999999998E-2</v>
      </c>
      <c r="H241" s="2">
        <v>1.1900000000000001E-2</v>
      </c>
      <c r="I241" s="2">
        <v>5.4000000000000003E-3</v>
      </c>
    </row>
    <row r="242" spans="1:9" x14ac:dyDescent="0.25">
      <c r="A242" s="3">
        <v>10</v>
      </c>
      <c r="B242" s="2">
        <v>0.55149999999999999</v>
      </c>
      <c r="C242" s="2">
        <v>5.3199999999999997E-2</v>
      </c>
      <c r="D242" s="2">
        <v>0.21240000000000001</v>
      </c>
      <c r="E242" s="2">
        <v>4.3499999999999997E-2</v>
      </c>
      <c r="F242" s="2">
        <v>0.22409999999999999</v>
      </c>
      <c r="G242" s="2">
        <v>4.3299999999999998E-2</v>
      </c>
      <c r="H242" s="2">
        <v>1.2E-2</v>
      </c>
      <c r="I242" s="2">
        <v>5.4000000000000003E-3</v>
      </c>
    </row>
    <row r="243" spans="1:9" x14ac:dyDescent="0.25">
      <c r="A243" s="3">
        <v>11</v>
      </c>
      <c r="B243" s="2">
        <v>0.55300000000000005</v>
      </c>
      <c r="C243" s="2">
        <v>5.2499999999999998E-2</v>
      </c>
      <c r="D243" s="2">
        <v>0.2117</v>
      </c>
      <c r="E243" s="2">
        <v>4.2900000000000001E-2</v>
      </c>
      <c r="F243" s="2">
        <v>0.2233</v>
      </c>
      <c r="G243" s="2">
        <v>4.2700000000000002E-2</v>
      </c>
      <c r="H243" s="2">
        <v>1.2E-2</v>
      </c>
      <c r="I243" s="2">
        <v>5.3E-3</v>
      </c>
    </row>
    <row r="244" spans="1:9" x14ac:dyDescent="0.25">
      <c r="A244" s="3">
        <v>15</v>
      </c>
      <c r="B244" s="2">
        <v>0.55910000000000004</v>
      </c>
      <c r="C244" s="2">
        <v>4.99E-2</v>
      </c>
      <c r="D244" s="2">
        <v>0.2087</v>
      </c>
      <c r="E244" s="2">
        <v>4.0500000000000001E-2</v>
      </c>
      <c r="F244" s="2">
        <v>0.22</v>
      </c>
      <c r="G244" s="2">
        <v>4.0300000000000002E-2</v>
      </c>
      <c r="H244" s="2">
        <v>1.2200000000000001E-2</v>
      </c>
      <c r="I244" s="2">
        <v>5.1000000000000004E-3</v>
      </c>
    </row>
    <row r="245" spans="1:9" x14ac:dyDescent="0.25">
      <c r="A245" s="3">
        <v>20</v>
      </c>
      <c r="B245" s="2">
        <v>0.56669999999999998</v>
      </c>
      <c r="C245" s="2">
        <v>4.6600000000000003E-2</v>
      </c>
      <c r="D245" s="2">
        <v>0.20499999999999999</v>
      </c>
      <c r="E245" s="2">
        <v>3.7600000000000001E-2</v>
      </c>
      <c r="F245" s="2">
        <v>0.21579999999999999</v>
      </c>
      <c r="G245" s="2">
        <v>3.7499999999999999E-2</v>
      </c>
      <c r="H245" s="2">
        <v>1.24E-2</v>
      </c>
      <c r="I245" s="2">
        <v>4.8999999999999998E-3</v>
      </c>
    </row>
    <row r="246" spans="1:9" x14ac:dyDescent="0.25">
      <c r="A246" s="3">
        <v>22</v>
      </c>
      <c r="B246" s="2">
        <v>0.56969999999999998</v>
      </c>
      <c r="C246" s="2">
        <v>4.53E-2</v>
      </c>
      <c r="D246" s="2">
        <v>0.20349999999999999</v>
      </c>
      <c r="E246" s="2">
        <v>3.6499999999999998E-2</v>
      </c>
      <c r="F246" s="2">
        <v>0.2142</v>
      </c>
      <c r="G246" s="2">
        <v>3.6299999999999999E-2</v>
      </c>
      <c r="H246" s="2">
        <v>1.2500000000000001E-2</v>
      </c>
      <c r="I246" s="2">
        <v>4.7999999999999996E-3</v>
      </c>
    </row>
    <row r="247" spans="1:9" x14ac:dyDescent="0.25">
      <c r="A247" s="3">
        <v>30</v>
      </c>
      <c r="B247" s="2">
        <v>0.58179999999999998</v>
      </c>
      <c r="C247" s="2">
        <v>4.0300000000000002E-2</v>
      </c>
      <c r="D247" s="2">
        <v>0.19769999999999999</v>
      </c>
      <c r="E247" s="2">
        <v>3.2199999999999999E-2</v>
      </c>
      <c r="F247" s="2">
        <v>0.2077</v>
      </c>
      <c r="G247" s="2">
        <v>3.2000000000000001E-2</v>
      </c>
      <c r="H247" s="2">
        <v>1.29E-2</v>
      </c>
      <c r="I247" s="2">
        <v>4.4999999999999997E-3</v>
      </c>
    </row>
    <row r="248" spans="1:9" x14ac:dyDescent="0.25">
      <c r="A248" s="3">
        <v>40</v>
      </c>
      <c r="B248" s="2">
        <v>0.59660000000000002</v>
      </c>
      <c r="C248" s="2">
        <v>3.4299999999999997E-2</v>
      </c>
      <c r="D248" s="2">
        <v>0.19040000000000001</v>
      </c>
      <c r="E248" s="2">
        <v>2.7199999999999998E-2</v>
      </c>
      <c r="F248" s="2">
        <v>0.1996</v>
      </c>
      <c r="G248" s="2">
        <v>2.7099999999999999E-2</v>
      </c>
      <c r="H248" s="2">
        <v>1.3299999999999999E-2</v>
      </c>
      <c r="I248" s="2">
        <v>4.1000000000000003E-3</v>
      </c>
    </row>
    <row r="249" spans="1:9" x14ac:dyDescent="0.25">
      <c r="A249" s="3">
        <v>50</v>
      </c>
      <c r="B249" s="2">
        <v>0.61129999999999995</v>
      </c>
      <c r="C249" s="2">
        <v>2.8899999999999999E-2</v>
      </c>
      <c r="D249" s="2">
        <v>0.18329999999999999</v>
      </c>
      <c r="E249" s="2">
        <v>2.3E-2</v>
      </c>
      <c r="F249" s="2">
        <v>0.19159999999999999</v>
      </c>
      <c r="G249" s="2">
        <v>2.2700000000000001E-2</v>
      </c>
      <c r="H249" s="2">
        <v>1.38E-2</v>
      </c>
      <c r="I249" s="2">
        <v>3.7000000000000002E-3</v>
      </c>
    </row>
    <row r="250" spans="1:9" x14ac:dyDescent="0.25">
      <c r="A250" s="3">
        <v>60</v>
      </c>
      <c r="B250" s="2">
        <v>0.62570000000000003</v>
      </c>
      <c r="C250" s="2">
        <v>2.4299999999999999E-2</v>
      </c>
      <c r="D250" s="2">
        <v>0.1762</v>
      </c>
      <c r="E250" s="2">
        <v>1.9599999999999999E-2</v>
      </c>
      <c r="F250" s="2">
        <v>0.18379999999999999</v>
      </c>
      <c r="G250" s="2">
        <v>1.9E-2</v>
      </c>
      <c r="H250" s="2">
        <v>1.4200000000000001E-2</v>
      </c>
      <c r="I250" s="2">
        <v>3.5999999999999999E-3</v>
      </c>
    </row>
    <row r="251" spans="1:9" x14ac:dyDescent="0.25">
      <c r="A251" s="3">
        <v>65</v>
      </c>
      <c r="B251" s="2">
        <v>0.63280000000000003</v>
      </c>
      <c r="C251" s="2">
        <v>2.24E-2</v>
      </c>
      <c r="D251" s="2">
        <v>0.17269999999999999</v>
      </c>
      <c r="E251" s="2">
        <v>1.83E-2</v>
      </c>
      <c r="F251" s="2">
        <v>0.18</v>
      </c>
      <c r="G251" s="2">
        <v>1.7600000000000001E-2</v>
      </c>
      <c r="H251" s="2">
        <v>1.4500000000000001E-2</v>
      </c>
      <c r="I251" s="2">
        <v>3.5999999999999999E-3</v>
      </c>
    </row>
    <row r="252" spans="1:9" x14ac:dyDescent="0.25">
      <c r="A252" s="3">
        <v>68</v>
      </c>
      <c r="B252" s="2">
        <v>0.6371</v>
      </c>
      <c r="C252" s="2">
        <v>2.1399999999999999E-2</v>
      </c>
      <c r="D252" s="2">
        <v>0.1706</v>
      </c>
      <c r="E252" s="2">
        <v>1.7600000000000001E-2</v>
      </c>
      <c r="F252" s="2">
        <v>0.1777</v>
      </c>
      <c r="G252" s="2">
        <v>1.6799999999999999E-2</v>
      </c>
      <c r="H252" s="2">
        <v>1.46E-2</v>
      </c>
      <c r="I252" s="2">
        <v>3.5999999999999999E-3</v>
      </c>
    </row>
    <row r="253" spans="1:9" x14ac:dyDescent="0.25">
      <c r="A253" s="3">
        <v>70</v>
      </c>
      <c r="B253" s="2">
        <v>0.63990000000000002</v>
      </c>
      <c r="C253" s="2">
        <v>2.0899999999999998E-2</v>
      </c>
      <c r="D253" s="2">
        <v>0.16919999999999999</v>
      </c>
      <c r="E253" s="2">
        <v>1.72E-2</v>
      </c>
      <c r="F253" s="2">
        <v>0.1762</v>
      </c>
      <c r="G253" s="2">
        <v>1.6299999999999999E-2</v>
      </c>
      <c r="H253" s="2">
        <v>1.47E-2</v>
      </c>
      <c r="I253" s="2">
        <v>3.7000000000000002E-3</v>
      </c>
    </row>
    <row r="254" spans="1:9" x14ac:dyDescent="0.25">
      <c r="A254" s="3">
        <v>75</v>
      </c>
      <c r="B254" s="2">
        <v>0.64690000000000003</v>
      </c>
      <c r="C254" s="2">
        <v>1.9800000000000002E-2</v>
      </c>
      <c r="D254" s="2">
        <v>0.1658</v>
      </c>
      <c r="E254" s="2">
        <v>1.66E-2</v>
      </c>
      <c r="F254" s="2">
        <v>0.1724</v>
      </c>
      <c r="G254" s="2">
        <v>1.54E-2</v>
      </c>
      <c r="H254" s="2">
        <v>1.49E-2</v>
      </c>
      <c r="I254" s="2">
        <v>3.8E-3</v>
      </c>
    </row>
    <row r="255" spans="1:9" x14ac:dyDescent="0.25">
      <c r="A255" s="3">
        <v>80</v>
      </c>
      <c r="B255" s="2">
        <v>0.65380000000000005</v>
      </c>
      <c r="C255" s="2">
        <v>1.9300000000000001E-2</v>
      </c>
      <c r="D255" s="2">
        <v>0.16239999999999999</v>
      </c>
      <c r="E255" s="2">
        <v>1.6199999999999999E-2</v>
      </c>
      <c r="F255" s="2">
        <v>0.16869999999999999</v>
      </c>
      <c r="G255" s="2">
        <v>1.4800000000000001E-2</v>
      </c>
      <c r="H255" s="2">
        <v>1.52E-2</v>
      </c>
      <c r="I255" s="2">
        <v>4.0000000000000001E-3</v>
      </c>
    </row>
    <row r="256" spans="1:9" x14ac:dyDescent="0.25">
      <c r="A256" s="3">
        <v>82</v>
      </c>
      <c r="B256" s="2">
        <v>0.65649999999999997</v>
      </c>
      <c r="C256" s="2">
        <v>1.9199999999999998E-2</v>
      </c>
      <c r="D256" s="2">
        <v>0.16109999999999999</v>
      </c>
      <c r="E256" s="2">
        <v>1.6199999999999999E-2</v>
      </c>
      <c r="F256" s="2">
        <v>0.16719999999999999</v>
      </c>
      <c r="G256" s="2">
        <v>1.47E-2</v>
      </c>
      <c r="H256" s="2">
        <v>1.5299999999999999E-2</v>
      </c>
      <c r="I256" s="2">
        <v>4.1000000000000003E-3</v>
      </c>
    </row>
    <row r="257" spans="1:9" x14ac:dyDescent="0.25">
      <c r="A257" s="3">
        <v>85</v>
      </c>
      <c r="B257" s="2">
        <v>0.66059999999999997</v>
      </c>
      <c r="C257" s="2">
        <v>1.9199999999999998E-2</v>
      </c>
      <c r="D257" s="2">
        <v>0.159</v>
      </c>
      <c r="E257" s="2">
        <v>1.6199999999999999E-2</v>
      </c>
      <c r="F257" s="2">
        <v>0.16500000000000001</v>
      </c>
      <c r="G257" s="2">
        <v>1.4500000000000001E-2</v>
      </c>
      <c r="H257" s="2">
        <v>1.54E-2</v>
      </c>
      <c r="I257" s="2">
        <v>4.3E-3</v>
      </c>
    </row>
    <row r="258" spans="1:9" x14ac:dyDescent="0.25">
      <c r="A258" s="3">
        <v>87</v>
      </c>
      <c r="B258" s="2">
        <v>0.6633</v>
      </c>
      <c r="C258" s="2">
        <v>1.9300000000000001E-2</v>
      </c>
      <c r="D258" s="2">
        <v>0.15770000000000001</v>
      </c>
      <c r="E258" s="2">
        <v>1.6199999999999999E-2</v>
      </c>
      <c r="F258" s="2">
        <v>0.16350000000000001</v>
      </c>
      <c r="G258" s="2">
        <v>1.4500000000000001E-2</v>
      </c>
      <c r="H258" s="2">
        <v>1.55E-2</v>
      </c>
      <c r="I258" s="2">
        <v>4.4000000000000003E-3</v>
      </c>
    </row>
    <row r="259" spans="1:9" x14ac:dyDescent="0.25">
      <c r="A259" s="3">
        <v>90</v>
      </c>
      <c r="B259" s="2">
        <v>0.6673</v>
      </c>
      <c r="C259" s="2">
        <v>1.9599999999999999E-2</v>
      </c>
      <c r="D259" s="2">
        <v>0.15570000000000001</v>
      </c>
      <c r="E259" s="2">
        <v>1.6400000000000001E-2</v>
      </c>
      <c r="F259" s="2">
        <v>0.16139999999999999</v>
      </c>
      <c r="G259" s="2">
        <v>1.46E-2</v>
      </c>
      <c r="H259" s="2">
        <v>1.5599999999999999E-2</v>
      </c>
      <c r="I259" s="2">
        <v>4.5999999999999999E-3</v>
      </c>
    </row>
    <row r="260" spans="1:9" x14ac:dyDescent="0.25">
      <c r="A260" s="3">
        <v>91</v>
      </c>
      <c r="B260" s="2">
        <v>0.66869999999999996</v>
      </c>
      <c r="C260" s="2">
        <v>1.9699999999999999E-2</v>
      </c>
      <c r="D260" s="2">
        <v>0.15509999999999999</v>
      </c>
      <c r="E260" s="2">
        <v>1.6500000000000001E-2</v>
      </c>
      <c r="F260" s="2">
        <v>0.16059999999999999</v>
      </c>
      <c r="G260" s="2">
        <v>1.46E-2</v>
      </c>
      <c r="H260" s="2">
        <v>1.5699999999999999E-2</v>
      </c>
      <c r="I260" s="2">
        <v>4.5999999999999999E-3</v>
      </c>
    </row>
    <row r="261" spans="1:9" x14ac:dyDescent="0.25">
      <c r="A261" s="3">
        <v>92</v>
      </c>
      <c r="B261" s="2">
        <v>0.67</v>
      </c>
      <c r="C261" s="2">
        <v>1.9800000000000002E-2</v>
      </c>
      <c r="D261" s="2">
        <v>0.15440000000000001</v>
      </c>
      <c r="E261" s="2">
        <v>1.66E-2</v>
      </c>
      <c r="F261" s="2">
        <v>0.15989999999999999</v>
      </c>
      <c r="G261" s="2">
        <v>1.47E-2</v>
      </c>
      <c r="H261" s="2">
        <v>1.5699999999999999E-2</v>
      </c>
      <c r="I261" s="2">
        <v>4.7000000000000002E-3</v>
      </c>
    </row>
    <row r="262" spans="1:9" x14ac:dyDescent="0.25">
      <c r="A262" s="3">
        <v>93</v>
      </c>
      <c r="B262" s="2">
        <v>0.67130000000000001</v>
      </c>
      <c r="C262" s="2">
        <v>0.02</v>
      </c>
      <c r="D262" s="2">
        <v>0.1537</v>
      </c>
      <c r="E262" s="2">
        <v>1.67E-2</v>
      </c>
      <c r="F262" s="2">
        <v>0.15920000000000001</v>
      </c>
      <c r="G262" s="2">
        <v>1.47E-2</v>
      </c>
      <c r="H262" s="2">
        <v>1.5800000000000002E-2</v>
      </c>
      <c r="I262" s="2">
        <v>4.7999999999999996E-3</v>
      </c>
    </row>
    <row r="263" spans="1:9" x14ac:dyDescent="0.25">
      <c r="A263" s="3">
        <v>94</v>
      </c>
      <c r="B263" s="2">
        <v>0.67269999999999996</v>
      </c>
      <c r="C263" s="2">
        <v>2.0199999999999999E-2</v>
      </c>
      <c r="D263" s="2">
        <v>0.15310000000000001</v>
      </c>
      <c r="E263" s="2">
        <v>1.6799999999999999E-2</v>
      </c>
      <c r="F263" s="2">
        <v>0.1585</v>
      </c>
      <c r="G263" s="2">
        <v>1.4800000000000001E-2</v>
      </c>
      <c r="H263" s="2">
        <v>1.5800000000000002E-2</v>
      </c>
      <c r="I263" s="2">
        <v>4.7999999999999996E-3</v>
      </c>
    </row>
    <row r="264" spans="1:9" x14ac:dyDescent="0.25">
      <c r="A264" s="3">
        <v>95</v>
      </c>
      <c r="B264" s="2">
        <v>0.67400000000000004</v>
      </c>
      <c r="C264" s="2">
        <v>2.0400000000000001E-2</v>
      </c>
      <c r="D264" s="2">
        <v>0.15240000000000001</v>
      </c>
      <c r="E264" s="2">
        <v>1.6899999999999998E-2</v>
      </c>
      <c r="F264" s="2">
        <v>0.1578</v>
      </c>
      <c r="G264" s="2">
        <v>1.49E-2</v>
      </c>
      <c r="H264" s="2">
        <v>1.5800000000000002E-2</v>
      </c>
      <c r="I264" s="2">
        <v>4.8999999999999998E-3</v>
      </c>
    </row>
    <row r="265" spans="1:9" x14ac:dyDescent="0.25">
      <c r="A265" s="3">
        <v>96</v>
      </c>
      <c r="B265" s="2">
        <v>0.67530000000000001</v>
      </c>
      <c r="C265" s="2">
        <v>2.06E-2</v>
      </c>
      <c r="D265" s="2">
        <v>0.15179999999999999</v>
      </c>
      <c r="E265" s="2">
        <v>1.7100000000000001E-2</v>
      </c>
      <c r="F265" s="2">
        <v>0.157</v>
      </c>
      <c r="G265" s="2">
        <v>1.4999999999999999E-2</v>
      </c>
      <c r="H265" s="2">
        <v>1.5900000000000001E-2</v>
      </c>
      <c r="I265" s="2">
        <v>5.0000000000000001E-3</v>
      </c>
    </row>
    <row r="266" spans="1:9" x14ac:dyDescent="0.25">
      <c r="A266" s="3">
        <v>97</v>
      </c>
      <c r="B266" s="2">
        <v>0.67659999999999998</v>
      </c>
      <c r="C266" s="2">
        <v>2.0799999999999999E-2</v>
      </c>
      <c r="D266" s="2">
        <v>0.15110000000000001</v>
      </c>
      <c r="E266" s="2">
        <v>1.72E-2</v>
      </c>
      <c r="F266" s="2">
        <v>0.15629999999999999</v>
      </c>
      <c r="G266" s="2">
        <v>1.5100000000000001E-2</v>
      </c>
      <c r="H266" s="2">
        <v>1.5900000000000001E-2</v>
      </c>
      <c r="I266" s="2">
        <v>5.1000000000000004E-3</v>
      </c>
    </row>
    <row r="267" spans="1:9" x14ac:dyDescent="0.25">
      <c r="A267" s="3">
        <v>98</v>
      </c>
      <c r="B267" s="2">
        <v>0.67789999999999995</v>
      </c>
      <c r="C267" s="2">
        <v>2.1000000000000001E-2</v>
      </c>
      <c r="D267" s="2">
        <v>0.15049999999999999</v>
      </c>
      <c r="E267" s="2">
        <v>1.7399999999999999E-2</v>
      </c>
      <c r="F267" s="2">
        <v>0.15559999999999999</v>
      </c>
      <c r="G267" s="2">
        <v>1.52E-2</v>
      </c>
      <c r="H267" s="2">
        <v>1.6E-2</v>
      </c>
      <c r="I267" s="2">
        <v>5.1000000000000004E-3</v>
      </c>
    </row>
    <row r="268" spans="1:9" x14ac:dyDescent="0.25">
      <c r="A268" s="3">
        <v>99</v>
      </c>
      <c r="B268" s="2">
        <v>0.67920000000000003</v>
      </c>
      <c r="C268" s="2">
        <v>2.1299999999999999E-2</v>
      </c>
      <c r="D268" s="2">
        <v>0.14979999999999999</v>
      </c>
      <c r="E268" s="2">
        <v>1.7500000000000002E-2</v>
      </c>
      <c r="F268" s="2">
        <v>0.15490000000000001</v>
      </c>
      <c r="G268" s="2">
        <v>1.5299999999999999E-2</v>
      </c>
      <c r="H268" s="2">
        <v>1.6E-2</v>
      </c>
      <c r="I268" s="2">
        <v>5.1999999999999998E-3</v>
      </c>
    </row>
    <row r="269" spans="1:9" x14ac:dyDescent="0.25">
      <c r="A269" s="3">
        <v>100</v>
      </c>
      <c r="B269" s="2">
        <v>0.68059999999999998</v>
      </c>
      <c r="C269" s="2">
        <v>2.1499999999999998E-2</v>
      </c>
      <c r="D269" s="2">
        <v>0.1492</v>
      </c>
      <c r="E269" s="2">
        <v>1.77E-2</v>
      </c>
      <c r="F269" s="2">
        <v>0.1542</v>
      </c>
      <c r="G269" s="2">
        <v>1.54E-2</v>
      </c>
      <c r="H269" s="2">
        <v>1.61E-2</v>
      </c>
      <c r="I269" s="2">
        <v>5.3E-3</v>
      </c>
    </row>
    <row r="270" spans="1:9" x14ac:dyDescent="0.25">
      <c r="A270" s="38"/>
      <c r="B270" s="39"/>
      <c r="C270" s="39"/>
      <c r="D270" s="39"/>
      <c r="E270" s="39"/>
      <c r="F270" s="39"/>
      <c r="G270" s="39"/>
      <c r="H270" s="39"/>
      <c r="I270" s="40"/>
    </row>
    <row r="271" spans="1:9" x14ac:dyDescent="0.25">
      <c r="A271" s="2"/>
      <c r="B271" s="35" t="s">
        <v>116</v>
      </c>
      <c r="C271" s="36"/>
      <c r="D271" s="36"/>
      <c r="E271" s="36"/>
      <c r="F271" s="36"/>
      <c r="G271" s="36"/>
      <c r="H271" s="36"/>
      <c r="I271" s="37"/>
    </row>
    <row r="272" spans="1:9" x14ac:dyDescent="0.25">
      <c r="A272" s="3" t="s">
        <v>110</v>
      </c>
      <c r="B272" s="3" t="s">
        <v>88</v>
      </c>
      <c r="C272" s="3" t="s">
        <v>105</v>
      </c>
      <c r="D272" s="3" t="s">
        <v>90</v>
      </c>
      <c r="E272" s="3" t="s">
        <v>105</v>
      </c>
      <c r="F272" s="3" t="s">
        <v>91</v>
      </c>
      <c r="G272" s="3" t="s">
        <v>105</v>
      </c>
      <c r="H272" s="3" t="s">
        <v>92</v>
      </c>
      <c r="I272" s="3" t="s">
        <v>105</v>
      </c>
    </row>
    <row r="273" spans="1:9" x14ac:dyDescent="0.25">
      <c r="A273" s="3">
        <v>1</v>
      </c>
      <c r="B273" s="2">
        <v>0.95379999999999998</v>
      </c>
      <c r="C273" s="2" t="s">
        <v>11</v>
      </c>
      <c r="D273" s="2">
        <v>3.5900000000000001E-2</v>
      </c>
      <c r="E273" s="2" t="s">
        <v>11</v>
      </c>
      <c r="F273" s="2">
        <v>9.7000000000000003E-3</v>
      </c>
      <c r="G273" s="2" t="s">
        <v>11</v>
      </c>
      <c r="H273" s="2">
        <v>5.0000000000000001E-4</v>
      </c>
      <c r="I273" s="2" t="s">
        <v>11</v>
      </c>
    </row>
    <row r="274" spans="1:9" x14ac:dyDescent="0.25">
      <c r="A274" s="3">
        <v>2</v>
      </c>
      <c r="B274" s="2">
        <v>0.1492</v>
      </c>
      <c r="C274" s="2" t="s">
        <v>11</v>
      </c>
      <c r="D274" s="2">
        <v>0.79749999999999999</v>
      </c>
      <c r="E274" s="2" t="s">
        <v>11</v>
      </c>
      <c r="F274" s="2">
        <v>5.3100000000000001E-2</v>
      </c>
      <c r="G274" s="2" t="s">
        <v>11</v>
      </c>
      <c r="H274" s="2">
        <v>2.0000000000000001E-4</v>
      </c>
      <c r="I274" s="2" t="s">
        <v>11</v>
      </c>
    </row>
    <row r="275" spans="1:9" x14ac:dyDescent="0.25">
      <c r="A275" s="3">
        <v>3</v>
      </c>
      <c r="B275" s="2">
        <v>3.8800000000000001E-2</v>
      </c>
      <c r="C275" s="2" t="s">
        <v>11</v>
      </c>
      <c r="D275" s="2">
        <v>5.11E-2</v>
      </c>
      <c r="E275" s="2" t="s">
        <v>11</v>
      </c>
      <c r="F275" s="2">
        <v>0.90700000000000003</v>
      </c>
      <c r="G275" s="2" t="s">
        <v>11</v>
      </c>
      <c r="H275" s="2">
        <v>3.0000000000000001E-3</v>
      </c>
      <c r="I275" s="2" t="s">
        <v>11</v>
      </c>
    </row>
    <row r="276" spans="1:9" x14ac:dyDescent="0.25">
      <c r="A276" s="3">
        <v>4</v>
      </c>
      <c r="B276" s="2">
        <v>2.1100000000000001E-2</v>
      </c>
      <c r="C276" s="2" t="s">
        <v>11</v>
      </c>
      <c r="D276" s="2">
        <v>2E-3</v>
      </c>
      <c r="E276" s="2" t="s">
        <v>11</v>
      </c>
      <c r="F276" s="2">
        <v>3.2500000000000001E-2</v>
      </c>
      <c r="G276" s="2" t="s">
        <v>11</v>
      </c>
      <c r="H276" s="2">
        <v>0.94440000000000002</v>
      </c>
      <c r="I276" s="2" t="s">
        <v>11</v>
      </c>
    </row>
  </sheetData>
  <mergeCells count="5">
    <mergeCell ref="A3:F3"/>
    <mergeCell ref="B69:F69"/>
    <mergeCell ref="B232:I232"/>
    <mergeCell ref="A270:I270"/>
    <mergeCell ref="B271:I271"/>
  </mergeCells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P234"/>
  <sheetViews>
    <sheetView topLeftCell="A190" workbookViewId="0">
      <selection activeCell="B167" sqref="B167"/>
    </sheetView>
  </sheetViews>
  <sheetFormatPr defaultRowHeight="15" x14ac:dyDescent="0.25"/>
  <cols>
    <col min="1" max="4" width="40.7109375" customWidth="1"/>
  </cols>
  <sheetData>
    <row r="1" spans="1:6" ht="37.5" x14ac:dyDescent="0.25">
      <c r="A1" s="1" t="s">
        <v>228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10148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13.932700000000001</v>
      </c>
      <c r="C7" s="2"/>
      <c r="D7" s="2"/>
      <c r="E7" s="2"/>
      <c r="F7" s="2"/>
    </row>
    <row r="8" spans="1:6" x14ac:dyDescent="0.25">
      <c r="A8" s="3" t="s">
        <v>4</v>
      </c>
      <c r="B8" s="2">
        <v>13.932700000000001</v>
      </c>
      <c r="C8" s="2"/>
      <c r="D8" s="2"/>
      <c r="E8" s="2"/>
      <c r="F8" s="2"/>
    </row>
    <row r="9" spans="1:6" x14ac:dyDescent="0.25">
      <c r="A9" s="3" t="s">
        <v>5</v>
      </c>
      <c r="B9" s="2">
        <v>113927</v>
      </c>
      <c r="C9" s="2"/>
      <c r="D9" s="2"/>
      <c r="E9" s="2"/>
      <c r="F9" s="2"/>
    </row>
    <row r="10" spans="1:6" x14ac:dyDescent="0.25">
      <c r="A10" s="3" t="s">
        <v>6</v>
      </c>
      <c r="B10" s="2">
        <v>113927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45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553.68690000000004</v>
      </c>
      <c r="C14" s="4">
        <v>8.5999999999999997E-89</v>
      </c>
      <c r="D14" s="2"/>
      <c r="E14" s="2"/>
      <c r="F14" s="2"/>
    </row>
    <row r="15" spans="1:6" x14ac:dyDescent="0.25">
      <c r="A15" s="3" t="s">
        <v>12</v>
      </c>
      <c r="B15" s="2">
        <v>680.12779999999998</v>
      </c>
      <c r="C15" s="4">
        <v>2.4999999999999999E-114</v>
      </c>
      <c r="D15" s="2"/>
      <c r="E15" s="2"/>
      <c r="F15" s="2"/>
    </row>
    <row r="16" spans="1:6" x14ac:dyDescent="0.25">
      <c r="A16" s="3" t="s">
        <v>13</v>
      </c>
      <c r="B16" s="2">
        <v>611.12180000000001</v>
      </c>
      <c r="C16" s="4">
        <v>2.4000000000000003E-100</v>
      </c>
      <c r="D16" s="2"/>
      <c r="E16" s="2"/>
      <c r="F16" s="2"/>
    </row>
    <row r="17" spans="1:6" x14ac:dyDescent="0.25">
      <c r="A17" s="3" t="s">
        <v>14</v>
      </c>
      <c r="B17" s="2">
        <v>138.56049999999999</v>
      </c>
      <c r="C17" s="2"/>
      <c r="D17" s="2"/>
      <c r="E17" s="2"/>
      <c r="F17" s="2"/>
    </row>
    <row r="18" spans="1:6" x14ac:dyDescent="0.25">
      <c r="A18" s="3" t="s">
        <v>15</v>
      </c>
      <c r="B18" s="2">
        <v>463.68689999999998</v>
      </c>
      <c r="C18" s="2"/>
      <c r="D18" s="2"/>
      <c r="E18" s="2"/>
      <c r="F18" s="2"/>
    </row>
    <row r="19" spans="1:6" x14ac:dyDescent="0.25">
      <c r="A19" s="3" t="s">
        <v>16</v>
      </c>
      <c r="B19" s="2">
        <v>418.68689999999998</v>
      </c>
      <c r="C19" s="2"/>
      <c r="D19" s="2"/>
      <c r="E19" s="2"/>
      <c r="F19" s="2"/>
    </row>
    <row r="20" spans="1:6" x14ac:dyDescent="0.25">
      <c r="A20" s="3" t="s">
        <v>17</v>
      </c>
      <c r="B20" s="2">
        <v>93.560500000000005</v>
      </c>
      <c r="C20" s="2"/>
      <c r="D20" s="2"/>
      <c r="E20" s="2"/>
      <c r="F20" s="2"/>
    </row>
    <row r="21" spans="1:6" x14ac:dyDescent="0.25">
      <c r="A21" s="3" t="s">
        <v>18</v>
      </c>
      <c r="B21" s="2">
        <v>281.56400000000002</v>
      </c>
      <c r="C21" s="2"/>
      <c r="D21" s="2"/>
      <c r="E21" s="2"/>
      <c r="F21" s="2"/>
    </row>
    <row r="22" spans="1:6" x14ac:dyDescent="0.25">
      <c r="A22" s="3" t="s">
        <v>19</v>
      </c>
      <c r="B22" s="2">
        <v>3.8699999999999998E-2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-9752.2924000000003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-9752.2924000000003</v>
      </c>
      <c r="C27" s="2"/>
      <c r="D27" s="2"/>
      <c r="E27" s="2"/>
      <c r="F27" s="2"/>
    </row>
    <row r="28" spans="1:6" x14ac:dyDescent="0.25">
      <c r="A28" s="3" t="s">
        <v>24</v>
      </c>
      <c r="B28" s="2">
        <v>19559.9349</v>
      </c>
      <c r="C28" s="2"/>
      <c r="D28" s="2"/>
      <c r="E28" s="2"/>
      <c r="F28" s="2"/>
    </row>
    <row r="29" spans="1:6" x14ac:dyDescent="0.25">
      <c r="A29" s="3" t="s">
        <v>25</v>
      </c>
      <c r="B29" s="2">
        <v>19516.584699999999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19522.584699999999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19565.9349</v>
      </c>
      <c r="C31" s="2"/>
      <c r="D31" s="2"/>
      <c r="E31" s="2"/>
      <c r="F31" s="2"/>
    </row>
    <row r="32" spans="1:6" x14ac:dyDescent="0.25">
      <c r="A32" s="3" t="s">
        <v>28</v>
      </c>
      <c r="B32" s="2">
        <v>19540.8678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0.36359999999999998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8.0000000000000004E-4</v>
      </c>
      <c r="C38" s="2"/>
      <c r="D38" s="2"/>
      <c r="E38" s="2"/>
      <c r="F38" s="2"/>
    </row>
    <row r="39" spans="1:6" x14ac:dyDescent="0.25">
      <c r="A39" s="3" t="s">
        <v>33</v>
      </c>
      <c r="B39" s="2">
        <v>2.9999999999999997E-4</v>
      </c>
      <c r="C39" s="2"/>
      <c r="D39" s="2"/>
      <c r="E39" s="2"/>
      <c r="F39" s="2"/>
    </row>
    <row r="40" spans="1:6" x14ac:dyDescent="0.25">
      <c r="A40" s="3" t="s">
        <v>34</v>
      </c>
      <c r="B40" s="2">
        <v>-19503.678</v>
      </c>
      <c r="C40" s="2"/>
      <c r="D40" s="2"/>
      <c r="E40" s="2"/>
      <c r="F40" s="2"/>
    </row>
    <row r="41" spans="1:6" x14ac:dyDescent="0.25">
      <c r="A41" s="3" t="s">
        <v>35</v>
      </c>
      <c r="B41" s="2">
        <v>9751.3855999999996</v>
      </c>
      <c r="C41" s="2"/>
      <c r="D41" s="2"/>
      <c r="E41" s="2"/>
      <c r="F41" s="2"/>
    </row>
    <row r="42" spans="1:6" x14ac:dyDescent="0.25">
      <c r="A42" s="3" t="s">
        <v>36</v>
      </c>
      <c r="B42" s="2">
        <v>39007.356</v>
      </c>
      <c r="C42" s="2"/>
      <c r="D42" s="2"/>
      <c r="E42" s="2"/>
      <c r="F42" s="2"/>
    </row>
    <row r="43" spans="1:6" x14ac:dyDescent="0.25">
      <c r="A43" s="3" t="s">
        <v>37</v>
      </c>
      <c r="B43" s="2">
        <v>39136.056400000001</v>
      </c>
      <c r="C43" s="2"/>
      <c r="D43" s="2"/>
      <c r="E43" s="2"/>
      <c r="F43" s="2"/>
    </row>
    <row r="44" spans="1:6" x14ac:dyDescent="0.25">
      <c r="A44" s="3" t="s">
        <v>38</v>
      </c>
      <c r="B44" s="2">
        <v>39062.706200000001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6458.4506000000001</v>
      </c>
      <c r="C48" s="2">
        <v>0</v>
      </c>
      <c r="D48" s="2">
        <v>0</v>
      </c>
      <c r="E48" s="2">
        <v>0</v>
      </c>
      <c r="F48" s="2">
        <v>6458.4506000000001</v>
      </c>
    </row>
    <row r="49" spans="1:6" x14ac:dyDescent="0.25">
      <c r="A49" s="3" t="s">
        <v>43</v>
      </c>
      <c r="B49" s="2">
        <v>1706.1582000000001</v>
      </c>
      <c r="C49" s="2">
        <v>0</v>
      </c>
      <c r="D49" s="2">
        <v>0</v>
      </c>
      <c r="E49" s="2">
        <v>0</v>
      </c>
      <c r="F49" s="2">
        <v>1706.1582000000001</v>
      </c>
    </row>
    <row r="50" spans="1:6" x14ac:dyDescent="0.25">
      <c r="A50" s="3" t="s">
        <v>44</v>
      </c>
      <c r="B50" s="2">
        <v>1821.4940999999999</v>
      </c>
      <c r="C50" s="2">
        <v>0</v>
      </c>
      <c r="D50" s="2">
        <v>0</v>
      </c>
      <c r="E50" s="2">
        <v>0</v>
      </c>
      <c r="F50" s="2">
        <v>1821.4940999999999</v>
      </c>
    </row>
    <row r="51" spans="1:6" x14ac:dyDescent="0.25">
      <c r="A51" s="3" t="s">
        <v>45</v>
      </c>
      <c r="B51" s="2">
        <v>161.8972</v>
      </c>
      <c r="C51" s="2">
        <v>0</v>
      </c>
      <c r="D51" s="2">
        <v>0</v>
      </c>
      <c r="E51" s="2">
        <v>0</v>
      </c>
      <c r="F51" s="2">
        <v>161.8972</v>
      </c>
    </row>
    <row r="52" spans="1:6" x14ac:dyDescent="0.25">
      <c r="A52" s="3" t="s">
        <v>46</v>
      </c>
      <c r="B52" s="2">
        <v>10148</v>
      </c>
      <c r="C52" s="2">
        <v>0</v>
      </c>
      <c r="D52" s="2">
        <v>0</v>
      </c>
      <c r="E52" s="2">
        <v>0</v>
      </c>
      <c r="F52" s="2">
        <v>10148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4111.0803999999998</v>
      </c>
      <c r="C56" s="2">
        <v>1085.162</v>
      </c>
      <c r="D56" s="2">
        <v>1158.8058000000001</v>
      </c>
      <c r="E56" s="2">
        <v>103.4024</v>
      </c>
      <c r="F56" s="2">
        <v>6458.4506000000001</v>
      </c>
    </row>
    <row r="57" spans="1:6" x14ac:dyDescent="0.25">
      <c r="A57" s="3" t="s">
        <v>43</v>
      </c>
      <c r="B57" s="2">
        <v>1085.162</v>
      </c>
      <c r="C57" s="2">
        <v>287.4683</v>
      </c>
      <c r="D57" s="2">
        <v>306.64190000000002</v>
      </c>
      <c r="E57" s="2">
        <v>26.885999999999999</v>
      </c>
      <c r="F57" s="2">
        <v>1706.1582000000001</v>
      </c>
    </row>
    <row r="58" spans="1:6" x14ac:dyDescent="0.25">
      <c r="A58" s="3" t="s">
        <v>44</v>
      </c>
      <c r="B58" s="2">
        <v>1158.8058000000001</v>
      </c>
      <c r="C58" s="2">
        <v>306.64190000000002</v>
      </c>
      <c r="D58" s="2">
        <v>327.20319999999998</v>
      </c>
      <c r="E58" s="2">
        <v>28.8432</v>
      </c>
      <c r="F58" s="2">
        <v>1821.4940999999999</v>
      </c>
    </row>
    <row r="59" spans="1:6" x14ac:dyDescent="0.25">
      <c r="A59" s="3" t="s">
        <v>45</v>
      </c>
      <c r="B59" s="2">
        <v>103.4024</v>
      </c>
      <c r="C59" s="2">
        <v>26.885999999999999</v>
      </c>
      <c r="D59" s="2">
        <v>28.8432</v>
      </c>
      <c r="E59" s="2">
        <v>2.7654999999999998</v>
      </c>
      <c r="F59" s="2">
        <v>161.8972</v>
      </c>
    </row>
    <row r="60" spans="1:6" x14ac:dyDescent="0.25">
      <c r="A60" s="3" t="s">
        <v>46</v>
      </c>
      <c r="B60" s="2">
        <v>6458.4506000000001</v>
      </c>
      <c r="C60" s="2">
        <v>1706.1582000000001</v>
      </c>
      <c r="D60" s="2">
        <v>1821.4940999999999</v>
      </c>
      <c r="E60" s="2">
        <v>161.8972</v>
      </c>
      <c r="F60" s="2">
        <v>10148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0.36359999999999998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8.0000000000000004E-4</v>
      </c>
      <c r="C65" s="2"/>
      <c r="D65" s="2"/>
      <c r="E65" s="2"/>
      <c r="F65" s="2"/>
    </row>
    <row r="66" spans="1:6" x14ac:dyDescent="0.25">
      <c r="A66" s="3" t="s">
        <v>33</v>
      </c>
      <c r="B66" s="2">
        <v>2.9999999999999997E-4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226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10148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619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0.99988560000000004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0.99988832999999999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0.99990659999999998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619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7.8660000000000006E-12</v>
      </c>
      <c r="B114" s="4">
        <v>7.8660149999999996E-12</v>
      </c>
      <c r="C114" s="2"/>
      <c r="D114" s="2"/>
      <c r="E114" s="2"/>
      <c r="F114" s="2"/>
    </row>
    <row r="115" spans="1:6" x14ac:dyDescent="0.25">
      <c r="A115" s="5">
        <v>1.8309999999999999E-11</v>
      </c>
      <c r="B115" s="4">
        <v>1.8309181000000002E-11</v>
      </c>
      <c r="C115" s="2"/>
      <c r="D115" s="2"/>
      <c r="E115" s="2"/>
      <c r="F115" s="2"/>
    </row>
    <row r="116" spans="1:6" x14ac:dyDescent="0.25">
      <c r="A116" s="5">
        <v>2.6130000000000001E-11</v>
      </c>
      <c r="B116" s="4">
        <v>2.6131349000000001E-11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0.99999983999999997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619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619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229</v>
      </c>
      <c r="B140" s="2" t="s">
        <v>127</v>
      </c>
      <c r="C140" s="2">
        <v>17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>
        <v>0</v>
      </c>
      <c r="D141" s="2"/>
      <c r="E141" s="2"/>
      <c r="F141" s="2"/>
    </row>
    <row r="142" spans="1:6" x14ac:dyDescent="0.25">
      <c r="A142" s="3">
        <v>14.29</v>
      </c>
      <c r="B142" s="2">
        <v>14.285714</v>
      </c>
      <c r="C142" s="2">
        <v>14.285714</v>
      </c>
      <c r="D142" s="2"/>
      <c r="E142" s="2"/>
      <c r="F142" s="2"/>
    </row>
    <row r="143" spans="1:6" x14ac:dyDescent="0.25">
      <c r="A143" s="3">
        <v>16.670000000000002</v>
      </c>
      <c r="B143" s="2">
        <v>16.666665999999999</v>
      </c>
      <c r="C143" s="2">
        <v>16.666665999999999</v>
      </c>
      <c r="D143" s="2"/>
      <c r="E143" s="2"/>
      <c r="F143" s="2"/>
    </row>
    <row r="144" spans="1:6" x14ac:dyDescent="0.25">
      <c r="A144" s="3">
        <v>20</v>
      </c>
      <c r="B144" s="2">
        <v>20</v>
      </c>
      <c r="C144" s="2">
        <v>20</v>
      </c>
      <c r="D144" s="2"/>
      <c r="E144" s="2"/>
      <c r="F144" s="2"/>
    </row>
    <row r="145" spans="1:6" x14ac:dyDescent="0.25">
      <c r="A145" s="3">
        <v>25</v>
      </c>
      <c r="B145" s="2">
        <v>25</v>
      </c>
      <c r="C145" s="2">
        <v>25</v>
      </c>
      <c r="D145" s="2"/>
      <c r="E145" s="2"/>
      <c r="F145" s="2"/>
    </row>
    <row r="146" spans="1:6" x14ac:dyDescent="0.25">
      <c r="A146" s="3">
        <v>28.57</v>
      </c>
      <c r="B146" s="2">
        <v>28.571428000000001</v>
      </c>
      <c r="C146" s="2">
        <v>28.571428000000001</v>
      </c>
      <c r="D146" s="2"/>
      <c r="E146" s="2"/>
      <c r="F146" s="2"/>
    </row>
    <row r="147" spans="1:6" x14ac:dyDescent="0.25">
      <c r="A147" s="3">
        <v>33.33</v>
      </c>
      <c r="B147" s="2">
        <v>33.333331999999999</v>
      </c>
      <c r="C147" s="2">
        <v>33.333331999999999</v>
      </c>
      <c r="D147" s="2"/>
      <c r="E147" s="2"/>
      <c r="F147" s="2"/>
    </row>
    <row r="148" spans="1:6" x14ac:dyDescent="0.25">
      <c r="A148" s="3">
        <v>40</v>
      </c>
      <c r="B148" s="2">
        <v>40</v>
      </c>
      <c r="C148" s="2">
        <v>40</v>
      </c>
      <c r="D148" s="2"/>
      <c r="E148" s="2"/>
      <c r="F148" s="2"/>
    </row>
    <row r="149" spans="1:6" x14ac:dyDescent="0.25">
      <c r="A149" s="3">
        <v>42.86</v>
      </c>
      <c r="B149" s="2">
        <v>42.857143000000001</v>
      </c>
      <c r="C149" s="2">
        <v>42.857143000000001</v>
      </c>
      <c r="D149" s="2"/>
      <c r="E149" s="2"/>
      <c r="F149" s="2"/>
    </row>
    <row r="150" spans="1:6" x14ac:dyDescent="0.25">
      <c r="A150" s="3">
        <v>50</v>
      </c>
      <c r="B150" s="2">
        <v>50</v>
      </c>
      <c r="C150" s="2">
        <v>50</v>
      </c>
      <c r="D150" s="2"/>
      <c r="E150" s="2"/>
      <c r="F150" s="2"/>
    </row>
    <row r="151" spans="1:6" x14ac:dyDescent="0.25">
      <c r="A151" s="3">
        <v>57.14</v>
      </c>
      <c r="B151" s="2">
        <v>57.142856999999999</v>
      </c>
      <c r="C151" s="2">
        <v>57.142856999999999</v>
      </c>
      <c r="D151" s="2"/>
      <c r="E151" s="2"/>
      <c r="F151" s="2"/>
    </row>
    <row r="152" spans="1:6" x14ac:dyDescent="0.25">
      <c r="A152" s="3">
        <v>66.67</v>
      </c>
      <c r="B152" s="2">
        <v>66.666663999999997</v>
      </c>
      <c r="C152" s="2">
        <v>66.666663999999997</v>
      </c>
      <c r="D152" s="2"/>
      <c r="E152" s="2"/>
      <c r="F152" s="2"/>
    </row>
    <row r="153" spans="1:6" x14ac:dyDescent="0.25">
      <c r="A153" s="3">
        <v>71.430000000000007</v>
      </c>
      <c r="B153" s="2">
        <v>71.428573999999998</v>
      </c>
      <c r="C153" s="2">
        <v>71.428573999999998</v>
      </c>
      <c r="D153" s="2"/>
      <c r="E153" s="2"/>
      <c r="F153" s="2"/>
    </row>
    <row r="154" spans="1:6" x14ac:dyDescent="0.25">
      <c r="A154" s="3">
        <v>75</v>
      </c>
      <c r="B154" s="2">
        <v>75</v>
      </c>
      <c r="C154" s="2">
        <v>75</v>
      </c>
      <c r="D154" s="2"/>
      <c r="E154" s="2"/>
      <c r="F154" s="2"/>
    </row>
    <row r="155" spans="1:6" x14ac:dyDescent="0.25">
      <c r="A155" s="3">
        <v>80</v>
      </c>
      <c r="B155" s="2">
        <v>80</v>
      </c>
      <c r="C155" s="2">
        <v>80</v>
      </c>
      <c r="D155" s="2"/>
      <c r="E155" s="2"/>
      <c r="F155" s="2"/>
    </row>
    <row r="156" spans="1:6" x14ac:dyDescent="0.25">
      <c r="A156" s="3">
        <v>85.71</v>
      </c>
      <c r="B156" s="2">
        <v>85.714286999999999</v>
      </c>
      <c r="C156" s="2">
        <v>85.714286999999999</v>
      </c>
      <c r="D156" s="2"/>
      <c r="E156" s="2"/>
      <c r="F156" s="2"/>
    </row>
    <row r="157" spans="1:6" x14ac:dyDescent="0.25">
      <c r="A157" s="3">
        <v>100</v>
      </c>
      <c r="B157" s="2">
        <v>100</v>
      </c>
      <c r="C157" s="2">
        <v>100</v>
      </c>
      <c r="D157" s="2"/>
      <c r="E157" s="2"/>
      <c r="F157" s="2"/>
    </row>
    <row r="159" spans="1:6" ht="18.75" x14ac:dyDescent="0.25">
      <c r="A159" s="1" t="s">
        <v>102</v>
      </c>
    </row>
    <row r="161" spans="1:16" x14ac:dyDescent="0.25">
      <c r="A161" s="3" t="s">
        <v>103</v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3" t="s">
        <v>104</v>
      </c>
      <c r="B162" s="3" t="s">
        <v>42</v>
      </c>
      <c r="C162" s="3" t="s">
        <v>105</v>
      </c>
      <c r="D162" s="3" t="s">
        <v>123</v>
      </c>
      <c r="E162" s="3" t="s">
        <v>43</v>
      </c>
      <c r="F162" s="3" t="s">
        <v>105</v>
      </c>
      <c r="G162" s="3" t="s">
        <v>123</v>
      </c>
      <c r="H162" s="3" t="s">
        <v>44</v>
      </c>
      <c r="I162" s="3" t="s">
        <v>105</v>
      </c>
      <c r="J162" s="3" t="s">
        <v>123</v>
      </c>
      <c r="K162" s="3" t="s">
        <v>45</v>
      </c>
      <c r="L162" s="3" t="s">
        <v>105</v>
      </c>
      <c r="M162" s="3" t="s">
        <v>123</v>
      </c>
      <c r="N162" s="3" t="s">
        <v>106</v>
      </c>
      <c r="O162" s="3" t="s">
        <v>9</v>
      </c>
      <c r="P162" s="2"/>
    </row>
    <row r="163" spans="1:16" x14ac:dyDescent="0.25">
      <c r="A163" s="3"/>
      <c r="B163" s="2">
        <v>1.5833999999999999</v>
      </c>
      <c r="C163" s="2">
        <v>0.1055</v>
      </c>
      <c r="D163" s="2">
        <v>15.0077</v>
      </c>
      <c r="E163" s="2">
        <v>0.27279999999999999</v>
      </c>
      <c r="F163" s="2">
        <v>0.13469999999999999</v>
      </c>
      <c r="G163" s="2">
        <v>2.0246</v>
      </c>
      <c r="H163" s="2">
        <v>0.33189999999999997</v>
      </c>
      <c r="I163" s="2">
        <v>0.12470000000000001</v>
      </c>
      <c r="J163" s="2">
        <v>2.6608000000000001</v>
      </c>
      <c r="K163" s="2">
        <v>-2.1880000000000002</v>
      </c>
      <c r="L163" s="2">
        <v>0.26240000000000002</v>
      </c>
      <c r="M163" s="2">
        <v>-8.3394999999999992</v>
      </c>
      <c r="N163" s="2">
        <v>248.72929999999999</v>
      </c>
      <c r="O163" s="4">
        <v>1.2E-53</v>
      </c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3" t="s">
        <v>107</v>
      </c>
      <c r="B165" s="3" t="s">
        <v>42</v>
      </c>
      <c r="C165" s="3" t="s">
        <v>105</v>
      </c>
      <c r="D165" s="3" t="s">
        <v>123</v>
      </c>
      <c r="E165" s="3" t="s">
        <v>43</v>
      </c>
      <c r="F165" s="3" t="s">
        <v>105</v>
      </c>
      <c r="G165" s="3" t="s">
        <v>123</v>
      </c>
      <c r="H165" s="3" t="s">
        <v>44</v>
      </c>
      <c r="I165" s="3" t="s">
        <v>105</v>
      </c>
      <c r="J165" s="3" t="s">
        <v>123</v>
      </c>
      <c r="K165" s="3" t="s">
        <v>45</v>
      </c>
      <c r="L165" s="3" t="s">
        <v>105</v>
      </c>
      <c r="M165" s="3" t="s">
        <v>123</v>
      </c>
      <c r="N165" s="3" t="s">
        <v>106</v>
      </c>
      <c r="O165" s="3" t="s">
        <v>9</v>
      </c>
      <c r="P165" s="2"/>
    </row>
    <row r="166" spans="1:16" x14ac:dyDescent="0.25">
      <c r="A166" s="3" t="s">
        <v>229</v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>
        <v>-8.0000000000000004E-4</v>
      </c>
      <c r="C167" s="2">
        <v>3.3E-3</v>
      </c>
      <c r="D167" s="2">
        <v>-0.25009999999999999</v>
      </c>
      <c r="E167" s="2">
        <v>-3.5999999999999999E-3</v>
      </c>
      <c r="F167" s="2">
        <v>4.3E-3</v>
      </c>
      <c r="G167" s="2">
        <v>-0.82979999999999998</v>
      </c>
      <c r="H167" s="2">
        <v>-2.7000000000000001E-3</v>
      </c>
      <c r="I167" s="2">
        <v>3.8999999999999998E-3</v>
      </c>
      <c r="J167" s="2">
        <v>-0.67849999999999999</v>
      </c>
      <c r="K167" s="2">
        <v>7.1000000000000004E-3</v>
      </c>
      <c r="L167" s="2">
        <v>6.1999999999999998E-3</v>
      </c>
      <c r="M167" s="2">
        <v>1.1418999999999999</v>
      </c>
      <c r="N167" s="2">
        <v>1.5143</v>
      </c>
      <c r="O167" s="2">
        <v>0.68</v>
      </c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70" spans="1:16" ht="18.75" x14ac:dyDescent="0.25">
      <c r="A170" s="1" t="s">
        <v>108</v>
      </c>
    </row>
    <row r="172" spans="1:16" x14ac:dyDescent="0.25">
      <c r="A172" s="3" t="s">
        <v>103</v>
      </c>
      <c r="B172" s="3"/>
      <c r="C172" s="3"/>
      <c r="D172" s="3" t="s">
        <v>106</v>
      </c>
      <c r="E172" s="3" t="s">
        <v>109</v>
      </c>
      <c r="F172" s="3" t="s">
        <v>9</v>
      </c>
    </row>
    <row r="173" spans="1:16" x14ac:dyDescent="0.25">
      <c r="A173" s="3" t="s">
        <v>104</v>
      </c>
      <c r="B173" s="2"/>
      <c r="C173" s="2"/>
      <c r="D173" s="2"/>
      <c r="E173" s="2"/>
      <c r="F173" s="2"/>
    </row>
    <row r="174" spans="1:16" x14ac:dyDescent="0.25">
      <c r="A174" s="3" t="s">
        <v>110</v>
      </c>
      <c r="B174" s="3">
        <v>1</v>
      </c>
      <c r="C174" s="3">
        <v>2</v>
      </c>
      <c r="D174" s="2">
        <v>80.526300000000006</v>
      </c>
      <c r="E174" s="2">
        <v>1</v>
      </c>
      <c r="F174" s="4">
        <v>2.9E-19</v>
      </c>
    </row>
    <row r="175" spans="1:16" x14ac:dyDescent="0.25">
      <c r="A175" s="3" t="s">
        <v>110</v>
      </c>
      <c r="B175" s="3">
        <v>1</v>
      </c>
      <c r="C175" s="3">
        <v>3</v>
      </c>
      <c r="D175" s="2">
        <v>102.9966</v>
      </c>
      <c r="E175" s="2">
        <v>1</v>
      </c>
      <c r="F175" s="4">
        <v>3.3999999999999999E-24</v>
      </c>
    </row>
    <row r="176" spans="1:16" x14ac:dyDescent="0.25">
      <c r="A176" s="3" t="s">
        <v>110</v>
      </c>
      <c r="B176" s="3">
        <v>1</v>
      </c>
      <c r="C176" s="3">
        <v>4</v>
      </c>
      <c r="D176" s="2">
        <v>116.9016</v>
      </c>
      <c r="E176" s="2">
        <v>1</v>
      </c>
      <c r="F176" s="4">
        <v>3.0000000000000001E-27</v>
      </c>
    </row>
    <row r="177" spans="1:6" x14ac:dyDescent="0.25">
      <c r="A177" s="3" t="s">
        <v>110</v>
      </c>
      <c r="B177" s="3">
        <v>2</v>
      </c>
      <c r="C177" s="3">
        <v>3</v>
      </c>
      <c r="D177" s="2">
        <v>0.1198</v>
      </c>
      <c r="E177" s="2">
        <v>1</v>
      </c>
      <c r="F177" s="2">
        <v>0.73</v>
      </c>
    </row>
    <row r="178" spans="1:6" x14ac:dyDescent="0.25">
      <c r="A178" s="3" t="s">
        <v>110</v>
      </c>
      <c r="B178" s="3">
        <v>2</v>
      </c>
      <c r="C178" s="3">
        <v>4</v>
      </c>
      <c r="D178" s="2">
        <v>44.588999999999999</v>
      </c>
      <c r="E178" s="2">
        <v>1</v>
      </c>
      <c r="F178" s="4">
        <v>2.4000000000000001E-11</v>
      </c>
    </row>
    <row r="179" spans="1:6" x14ac:dyDescent="0.25">
      <c r="A179" s="3" t="s">
        <v>110</v>
      </c>
      <c r="B179" s="3">
        <v>3</v>
      </c>
      <c r="C179" s="3">
        <v>4</v>
      </c>
      <c r="D179" s="2">
        <v>48.2684</v>
      </c>
      <c r="E179" s="2">
        <v>1</v>
      </c>
      <c r="F179" s="4">
        <v>3.7E-12</v>
      </c>
    </row>
    <row r="180" spans="1:6" x14ac:dyDescent="0.25">
      <c r="A180" s="3" t="s">
        <v>229</v>
      </c>
      <c r="B180" s="2"/>
      <c r="C180" s="2"/>
      <c r="D180" s="2"/>
      <c r="E180" s="2"/>
      <c r="F180" s="2"/>
    </row>
    <row r="181" spans="1:6" x14ac:dyDescent="0.25">
      <c r="A181" s="3" t="s">
        <v>110</v>
      </c>
      <c r="B181" s="3">
        <v>1</v>
      </c>
      <c r="C181" s="3">
        <v>2</v>
      </c>
      <c r="D181" s="2">
        <v>0.249</v>
      </c>
      <c r="E181" s="2">
        <v>1</v>
      </c>
      <c r="F181" s="2">
        <v>0.62</v>
      </c>
    </row>
    <row r="182" spans="1:6" x14ac:dyDescent="0.25">
      <c r="A182" s="3" t="s">
        <v>110</v>
      </c>
      <c r="B182" s="3">
        <v>1</v>
      </c>
      <c r="C182" s="3">
        <v>3</v>
      </c>
      <c r="D182" s="2">
        <v>0.1434</v>
      </c>
      <c r="E182" s="2">
        <v>1</v>
      </c>
      <c r="F182" s="2">
        <v>0.7</v>
      </c>
    </row>
    <row r="183" spans="1:6" x14ac:dyDescent="0.25">
      <c r="A183" s="3" t="s">
        <v>110</v>
      </c>
      <c r="B183" s="3">
        <v>1</v>
      </c>
      <c r="C183" s="3">
        <v>4</v>
      </c>
      <c r="D183" s="2">
        <v>0.87139999999999995</v>
      </c>
      <c r="E183" s="2">
        <v>1</v>
      </c>
      <c r="F183" s="2">
        <v>0.35</v>
      </c>
    </row>
    <row r="184" spans="1:6" x14ac:dyDescent="0.25">
      <c r="A184" s="3" t="s">
        <v>110</v>
      </c>
      <c r="B184" s="3">
        <v>2</v>
      </c>
      <c r="C184" s="3">
        <v>3</v>
      </c>
      <c r="D184" s="2">
        <v>1.95E-2</v>
      </c>
      <c r="E184" s="2">
        <v>1</v>
      </c>
      <c r="F184" s="2">
        <v>0.89</v>
      </c>
    </row>
    <row r="185" spans="1:6" x14ac:dyDescent="0.25">
      <c r="A185" s="3" t="s">
        <v>110</v>
      </c>
      <c r="B185" s="3">
        <v>2</v>
      </c>
      <c r="C185" s="3">
        <v>4</v>
      </c>
      <c r="D185" s="2">
        <v>1.3280000000000001</v>
      </c>
      <c r="E185" s="2">
        <v>1</v>
      </c>
      <c r="F185" s="2">
        <v>0.25</v>
      </c>
    </row>
    <row r="186" spans="1:6" x14ac:dyDescent="0.25">
      <c r="A186" s="3" t="s">
        <v>110</v>
      </c>
      <c r="B186" s="3">
        <v>3</v>
      </c>
      <c r="C186" s="3">
        <v>4</v>
      </c>
      <c r="D186" s="2">
        <v>1.1911</v>
      </c>
      <c r="E186" s="2">
        <v>1</v>
      </c>
      <c r="F186" s="2">
        <v>0.28000000000000003</v>
      </c>
    </row>
    <row r="188" spans="1:6" ht="18.75" x14ac:dyDescent="0.25">
      <c r="A188" s="1" t="s">
        <v>111</v>
      </c>
    </row>
    <row r="190" spans="1:6" x14ac:dyDescent="0.25">
      <c r="A190" s="2"/>
      <c r="B190" s="3" t="s">
        <v>42</v>
      </c>
      <c r="C190" s="3" t="s">
        <v>43</v>
      </c>
      <c r="D190" s="3" t="s">
        <v>44</v>
      </c>
      <c r="E190" s="3" t="s">
        <v>45</v>
      </c>
    </row>
    <row r="191" spans="1:6" x14ac:dyDescent="0.25">
      <c r="A191" s="3" t="s">
        <v>112</v>
      </c>
      <c r="B191" s="2">
        <v>0.63639999999999997</v>
      </c>
      <c r="C191" s="2">
        <v>0.1681</v>
      </c>
      <c r="D191" s="2">
        <v>0.17949999999999999</v>
      </c>
      <c r="E191" s="2">
        <v>1.6E-2</v>
      </c>
    </row>
    <row r="192" spans="1:6" x14ac:dyDescent="0.25">
      <c r="A192" s="3" t="s">
        <v>107</v>
      </c>
      <c r="B192" s="2"/>
      <c r="C192" s="2"/>
      <c r="D192" s="2"/>
      <c r="E192" s="2"/>
    </row>
    <row r="193" spans="1:5" x14ac:dyDescent="0.25">
      <c r="A193" s="3" t="s">
        <v>229</v>
      </c>
      <c r="B193" s="2"/>
      <c r="C193" s="2"/>
      <c r="D193" s="2"/>
      <c r="E193" s="2"/>
    </row>
    <row r="194" spans="1:5" x14ac:dyDescent="0.25">
      <c r="A194" s="10">
        <v>43101</v>
      </c>
      <c r="B194" s="2">
        <v>0.86639999999999995</v>
      </c>
      <c r="C194" s="2">
        <v>0.88439999999999996</v>
      </c>
      <c r="D194" s="2">
        <v>0.87890000000000001</v>
      </c>
      <c r="E194" s="2">
        <v>0.79569999999999996</v>
      </c>
    </row>
    <row r="195" spans="1:5" x14ac:dyDescent="0.25">
      <c r="A195" s="10">
        <v>43148</v>
      </c>
      <c r="B195" s="2">
        <v>0.1336</v>
      </c>
      <c r="C195" s="2">
        <v>0.11559999999999999</v>
      </c>
      <c r="D195" s="2">
        <v>0.1211</v>
      </c>
      <c r="E195" s="2">
        <v>0.20430000000000001</v>
      </c>
    </row>
    <row r="196" spans="1:5" x14ac:dyDescent="0.25">
      <c r="A196" s="3" t="s">
        <v>131</v>
      </c>
      <c r="B196" s="2">
        <v>8.1800999999999995</v>
      </c>
      <c r="C196" s="2">
        <v>6.8028000000000004</v>
      </c>
      <c r="D196" s="2">
        <v>7.2228000000000003</v>
      </c>
      <c r="E196" s="2">
        <v>13.954499999999999</v>
      </c>
    </row>
    <row r="198" spans="1:5" ht="18.75" x14ac:dyDescent="0.25">
      <c r="A198" s="1" t="s">
        <v>113</v>
      </c>
    </row>
    <row r="200" spans="1:5" x14ac:dyDescent="0.25">
      <c r="A200" s="2"/>
      <c r="B200" s="3" t="s">
        <v>42</v>
      </c>
      <c r="C200" s="3" t="s">
        <v>43</v>
      </c>
      <c r="D200" s="3" t="s">
        <v>44</v>
      </c>
      <c r="E200" s="3" t="s">
        <v>45</v>
      </c>
    </row>
    <row r="201" spans="1:5" x14ac:dyDescent="0.25">
      <c r="A201" s="3" t="s">
        <v>114</v>
      </c>
      <c r="B201" s="2">
        <v>0.63639999999999997</v>
      </c>
      <c r="C201" s="2">
        <v>0.1681</v>
      </c>
      <c r="D201" s="2">
        <v>0.17949999999999999</v>
      </c>
      <c r="E201" s="2">
        <v>1.6E-2</v>
      </c>
    </row>
    <row r="202" spans="1:5" x14ac:dyDescent="0.25">
      <c r="A202" s="3" t="s">
        <v>107</v>
      </c>
      <c r="B202" s="2"/>
      <c r="C202" s="2"/>
      <c r="D202" s="2"/>
      <c r="E202" s="2"/>
    </row>
    <row r="203" spans="1:5" x14ac:dyDescent="0.25">
      <c r="A203" s="3" t="s">
        <v>229</v>
      </c>
      <c r="B203" s="2"/>
      <c r="C203" s="2"/>
      <c r="D203" s="2"/>
      <c r="E203" s="2"/>
    </row>
    <row r="204" spans="1:5" x14ac:dyDescent="0.25">
      <c r="A204" s="10">
        <v>43101</v>
      </c>
      <c r="B204" s="2">
        <v>0.63339999999999996</v>
      </c>
      <c r="C204" s="2">
        <v>0.17080000000000001</v>
      </c>
      <c r="D204" s="2">
        <v>0.1812</v>
      </c>
      <c r="E204" s="2">
        <v>1.46E-2</v>
      </c>
    </row>
    <row r="205" spans="1:5" x14ac:dyDescent="0.25">
      <c r="A205" s="10">
        <v>43148</v>
      </c>
      <c r="B205" s="2">
        <v>0.65639999999999998</v>
      </c>
      <c r="C205" s="2">
        <v>0.15040000000000001</v>
      </c>
      <c r="D205" s="2">
        <v>0.16819999999999999</v>
      </c>
      <c r="E205" s="2">
        <v>2.5000000000000001E-2</v>
      </c>
    </row>
    <row r="207" spans="1:5" ht="18.75" x14ac:dyDescent="0.25">
      <c r="A207" s="1" t="s">
        <v>115</v>
      </c>
    </row>
    <row r="209" spans="1:9" x14ac:dyDescent="0.25">
      <c r="A209" s="2"/>
      <c r="B209" s="35" t="s">
        <v>110</v>
      </c>
      <c r="C209" s="36"/>
      <c r="D209" s="36"/>
      <c r="E209" s="36"/>
      <c r="F209" s="36"/>
      <c r="G209" s="36"/>
      <c r="H209" s="36"/>
      <c r="I209" s="37"/>
    </row>
    <row r="210" spans="1:9" x14ac:dyDescent="0.25">
      <c r="A210" s="3" t="s">
        <v>229</v>
      </c>
      <c r="B210" s="3">
        <v>1</v>
      </c>
      <c r="C210" s="3" t="s">
        <v>105</v>
      </c>
      <c r="D210" s="3">
        <v>2</v>
      </c>
      <c r="E210" s="3" t="s">
        <v>105</v>
      </c>
      <c r="F210" s="3">
        <v>3</v>
      </c>
      <c r="G210" s="3" t="s">
        <v>105</v>
      </c>
      <c r="H210" s="3">
        <v>4</v>
      </c>
      <c r="I210" s="3" t="s">
        <v>105</v>
      </c>
    </row>
    <row r="211" spans="1:9" x14ac:dyDescent="0.25">
      <c r="A211" s="3">
        <v>0</v>
      </c>
      <c r="B211" s="2">
        <v>0.63339999999999996</v>
      </c>
      <c r="C211" s="2">
        <v>2.3800000000000002E-2</v>
      </c>
      <c r="D211" s="2">
        <v>0.17080000000000001</v>
      </c>
      <c r="E211" s="2">
        <v>2.0199999999999999E-2</v>
      </c>
      <c r="F211" s="2">
        <v>0.1812</v>
      </c>
      <c r="G211" s="2">
        <v>1.7899999999999999E-2</v>
      </c>
      <c r="H211" s="2">
        <v>1.46E-2</v>
      </c>
      <c r="I211" s="2">
        <v>5.0000000000000001E-3</v>
      </c>
    </row>
    <row r="212" spans="1:9" x14ac:dyDescent="0.25">
      <c r="A212" s="3">
        <v>14.29</v>
      </c>
      <c r="B212" s="2">
        <v>0.63949999999999996</v>
      </c>
      <c r="C212" s="2">
        <v>2.3599999999999999E-2</v>
      </c>
      <c r="D212" s="2">
        <v>0.1658</v>
      </c>
      <c r="E212" s="2">
        <v>1.9699999999999999E-2</v>
      </c>
      <c r="F212" s="2">
        <v>0.1782</v>
      </c>
      <c r="G212" s="2">
        <v>1.8599999999999998E-2</v>
      </c>
      <c r="H212" s="2">
        <v>1.6500000000000001E-2</v>
      </c>
      <c r="I212" s="2">
        <v>5.4999999999999997E-3</v>
      </c>
    </row>
    <row r="213" spans="1:9" x14ac:dyDescent="0.25">
      <c r="A213" s="3">
        <v>16.670000000000002</v>
      </c>
      <c r="B213" s="2">
        <v>0.64049999999999996</v>
      </c>
      <c r="C213" s="2">
        <v>2.4199999999999999E-2</v>
      </c>
      <c r="D213" s="2">
        <v>0.16500000000000001</v>
      </c>
      <c r="E213" s="2">
        <v>2.0199999999999999E-2</v>
      </c>
      <c r="F213" s="2">
        <v>0.1777</v>
      </c>
      <c r="G213" s="2">
        <v>1.9199999999999998E-2</v>
      </c>
      <c r="H213" s="2">
        <v>1.6799999999999999E-2</v>
      </c>
      <c r="I213" s="2">
        <v>5.5999999999999999E-3</v>
      </c>
    </row>
    <row r="214" spans="1:9" x14ac:dyDescent="0.25">
      <c r="A214" s="3">
        <v>20</v>
      </c>
      <c r="B214" s="2">
        <v>0.64190000000000003</v>
      </c>
      <c r="C214" s="2">
        <v>2.5499999999999998E-2</v>
      </c>
      <c r="D214" s="2">
        <v>0.1638</v>
      </c>
      <c r="E214" s="2">
        <v>2.1000000000000001E-2</v>
      </c>
      <c r="F214" s="2">
        <v>0.17699999999999999</v>
      </c>
      <c r="G214" s="2">
        <v>2.0199999999999999E-2</v>
      </c>
      <c r="H214" s="2">
        <v>1.7299999999999999E-2</v>
      </c>
      <c r="I214" s="2">
        <v>5.8999999999999999E-3</v>
      </c>
    </row>
    <row r="215" spans="1:9" x14ac:dyDescent="0.25">
      <c r="A215" s="3">
        <v>25</v>
      </c>
      <c r="B215" s="2">
        <v>0.64400000000000002</v>
      </c>
      <c r="C215" s="2">
        <v>2.7799999999999998E-2</v>
      </c>
      <c r="D215" s="2">
        <v>0.16209999999999999</v>
      </c>
      <c r="E215" s="2">
        <v>2.2700000000000001E-2</v>
      </c>
      <c r="F215" s="2">
        <v>0.1759</v>
      </c>
      <c r="G215" s="2">
        <v>2.2100000000000002E-2</v>
      </c>
      <c r="H215" s="2">
        <v>1.8100000000000002E-2</v>
      </c>
      <c r="I215" s="2">
        <v>6.4000000000000003E-3</v>
      </c>
    </row>
    <row r="216" spans="1:9" x14ac:dyDescent="0.25">
      <c r="A216" s="3">
        <v>28.57</v>
      </c>
      <c r="B216" s="2">
        <v>0.64539999999999997</v>
      </c>
      <c r="C216" s="2">
        <v>2.98E-2</v>
      </c>
      <c r="D216" s="2">
        <v>0.16089999999999999</v>
      </c>
      <c r="E216" s="2">
        <v>2.41E-2</v>
      </c>
      <c r="F216" s="2">
        <v>0.17510000000000001</v>
      </c>
      <c r="G216" s="2">
        <v>2.3599999999999999E-2</v>
      </c>
      <c r="H216" s="2">
        <v>1.8599999999999998E-2</v>
      </c>
      <c r="I216" s="2">
        <v>6.7999999999999996E-3</v>
      </c>
    </row>
    <row r="217" spans="1:9" x14ac:dyDescent="0.25">
      <c r="A217" s="3">
        <v>33.33</v>
      </c>
      <c r="B217" s="2">
        <v>0.64729999999999999</v>
      </c>
      <c r="C217" s="2">
        <v>3.2800000000000003E-2</v>
      </c>
      <c r="D217" s="2">
        <v>0.15920000000000001</v>
      </c>
      <c r="E217" s="2">
        <v>2.6200000000000001E-2</v>
      </c>
      <c r="F217" s="2">
        <v>0.1741</v>
      </c>
      <c r="G217" s="2">
        <v>2.58E-2</v>
      </c>
      <c r="H217" s="2">
        <v>1.9400000000000001E-2</v>
      </c>
      <c r="I217" s="2">
        <v>7.4000000000000003E-3</v>
      </c>
    </row>
    <row r="218" spans="1:9" x14ac:dyDescent="0.25">
      <c r="A218" s="3">
        <v>40</v>
      </c>
      <c r="B218" s="2">
        <v>0.64990000000000003</v>
      </c>
      <c r="C218" s="2">
        <v>3.73E-2</v>
      </c>
      <c r="D218" s="2">
        <v>0.157</v>
      </c>
      <c r="E218" s="2">
        <v>2.9499999999999998E-2</v>
      </c>
      <c r="F218" s="2">
        <v>0.1726</v>
      </c>
      <c r="G218" s="2">
        <v>2.92E-2</v>
      </c>
      <c r="H218" s="2">
        <v>2.0500000000000001E-2</v>
      </c>
      <c r="I218" s="2">
        <v>8.3999999999999995E-3</v>
      </c>
    </row>
    <row r="219" spans="1:9" x14ac:dyDescent="0.25">
      <c r="A219" s="3">
        <v>42.86</v>
      </c>
      <c r="B219" s="2">
        <v>0.65100000000000002</v>
      </c>
      <c r="C219" s="2">
        <v>3.9399999999999998E-2</v>
      </c>
      <c r="D219" s="2">
        <v>0.156</v>
      </c>
      <c r="E219" s="2">
        <v>3.09E-2</v>
      </c>
      <c r="F219" s="2">
        <v>0.17199999999999999</v>
      </c>
      <c r="G219" s="2">
        <v>3.0700000000000002E-2</v>
      </c>
      <c r="H219" s="2">
        <v>2.1000000000000001E-2</v>
      </c>
      <c r="I219" s="2">
        <v>8.8999999999999999E-3</v>
      </c>
    </row>
    <row r="220" spans="1:9" x14ac:dyDescent="0.25">
      <c r="A220" s="3">
        <v>50</v>
      </c>
      <c r="B220" s="2">
        <v>0.65369999999999995</v>
      </c>
      <c r="C220" s="2">
        <v>4.4699999999999997E-2</v>
      </c>
      <c r="D220" s="2">
        <v>0.15359999999999999</v>
      </c>
      <c r="E220" s="2">
        <v>3.4700000000000002E-2</v>
      </c>
      <c r="F220" s="2">
        <v>0.1704</v>
      </c>
      <c r="G220" s="2">
        <v>3.4599999999999999E-2</v>
      </c>
      <c r="H220" s="2">
        <v>2.23E-2</v>
      </c>
      <c r="I220" s="2">
        <v>1.03E-2</v>
      </c>
    </row>
    <row r="221" spans="1:9" x14ac:dyDescent="0.25">
      <c r="A221" s="3">
        <v>57.14</v>
      </c>
      <c r="B221" s="2">
        <v>0.65629999999999999</v>
      </c>
      <c r="C221" s="2">
        <v>5.0200000000000002E-2</v>
      </c>
      <c r="D221" s="2">
        <v>0.1512</v>
      </c>
      <c r="E221" s="2">
        <v>3.85E-2</v>
      </c>
      <c r="F221" s="2">
        <v>0.16889999999999999</v>
      </c>
      <c r="G221" s="2">
        <v>3.85E-2</v>
      </c>
      <c r="H221" s="2">
        <v>2.3699999999999999E-2</v>
      </c>
      <c r="I221" s="2">
        <v>1.1900000000000001E-2</v>
      </c>
    </row>
    <row r="222" spans="1:9" x14ac:dyDescent="0.25">
      <c r="A222" s="3">
        <v>66.67</v>
      </c>
      <c r="B222" s="2">
        <v>0.65959999999999996</v>
      </c>
      <c r="C222" s="2">
        <v>5.7700000000000001E-2</v>
      </c>
      <c r="D222" s="2">
        <v>0.14799999999999999</v>
      </c>
      <c r="E222" s="2">
        <v>4.36E-2</v>
      </c>
      <c r="F222" s="2">
        <v>0.16669999999999999</v>
      </c>
      <c r="G222" s="2">
        <v>4.3799999999999999E-2</v>
      </c>
      <c r="H222" s="2">
        <v>2.5700000000000001E-2</v>
      </c>
      <c r="I222" s="2">
        <v>1.44E-2</v>
      </c>
    </row>
    <row r="223" spans="1:9" x14ac:dyDescent="0.25">
      <c r="A223" s="3">
        <v>71.430000000000007</v>
      </c>
      <c r="B223" s="2">
        <v>0.66120000000000001</v>
      </c>
      <c r="C223" s="2">
        <v>6.1400000000000003E-2</v>
      </c>
      <c r="D223" s="2">
        <v>0.1464</v>
      </c>
      <c r="E223" s="2">
        <v>4.6199999999999998E-2</v>
      </c>
      <c r="F223" s="2">
        <v>0.16569999999999999</v>
      </c>
      <c r="G223" s="2">
        <v>4.65E-2</v>
      </c>
      <c r="H223" s="2">
        <v>2.6700000000000002E-2</v>
      </c>
      <c r="I223" s="2">
        <v>1.5800000000000002E-2</v>
      </c>
    </row>
    <row r="224" spans="1:9" x14ac:dyDescent="0.25">
      <c r="A224" s="3">
        <v>75</v>
      </c>
      <c r="B224" s="2">
        <v>0.6623</v>
      </c>
      <c r="C224" s="2">
        <v>6.4299999999999996E-2</v>
      </c>
      <c r="D224" s="2">
        <v>0.14530000000000001</v>
      </c>
      <c r="E224" s="2">
        <v>4.8099999999999997E-2</v>
      </c>
      <c r="F224" s="2">
        <v>0.16489999999999999</v>
      </c>
      <c r="G224" s="2">
        <v>4.8500000000000001E-2</v>
      </c>
      <c r="H224" s="2">
        <v>2.75E-2</v>
      </c>
      <c r="I224" s="2">
        <v>1.6899999999999998E-2</v>
      </c>
    </row>
    <row r="225" spans="1:9" x14ac:dyDescent="0.25">
      <c r="A225" s="3">
        <v>80</v>
      </c>
      <c r="B225" s="2">
        <v>0.66390000000000005</v>
      </c>
      <c r="C225" s="2">
        <v>6.83E-2</v>
      </c>
      <c r="D225" s="2">
        <v>0.14360000000000001</v>
      </c>
      <c r="E225" s="2">
        <v>5.0700000000000002E-2</v>
      </c>
      <c r="F225" s="2">
        <v>0.16370000000000001</v>
      </c>
      <c r="G225" s="2">
        <v>5.1299999999999998E-2</v>
      </c>
      <c r="H225" s="2">
        <v>2.87E-2</v>
      </c>
      <c r="I225" s="2">
        <v>1.8599999999999998E-2</v>
      </c>
    </row>
    <row r="226" spans="1:9" x14ac:dyDescent="0.25">
      <c r="A226" s="3">
        <v>85.71</v>
      </c>
      <c r="B226" s="2">
        <v>0.66569999999999996</v>
      </c>
      <c r="C226" s="2">
        <v>7.2900000000000006E-2</v>
      </c>
      <c r="D226" s="2">
        <v>0.14180000000000001</v>
      </c>
      <c r="E226" s="2">
        <v>5.3600000000000002E-2</v>
      </c>
      <c r="F226" s="2">
        <v>0.16239999999999999</v>
      </c>
      <c r="G226" s="2">
        <v>5.4399999999999997E-2</v>
      </c>
      <c r="H226" s="2">
        <v>3.0099999999999998E-2</v>
      </c>
      <c r="I226" s="2">
        <v>2.07E-2</v>
      </c>
    </row>
    <row r="227" spans="1:9" x14ac:dyDescent="0.25">
      <c r="A227" s="3">
        <v>100</v>
      </c>
      <c r="B227" s="2">
        <v>0.66979999999999995</v>
      </c>
      <c r="C227" s="2">
        <v>8.4400000000000003E-2</v>
      </c>
      <c r="D227" s="2">
        <v>0.1371</v>
      </c>
      <c r="E227" s="2">
        <v>6.08E-2</v>
      </c>
      <c r="F227" s="2">
        <v>0.15920000000000001</v>
      </c>
      <c r="G227" s="2">
        <v>6.2199999999999998E-2</v>
      </c>
      <c r="H227" s="2">
        <v>3.39E-2</v>
      </c>
      <c r="I227" s="2">
        <v>2.6700000000000002E-2</v>
      </c>
    </row>
    <row r="228" spans="1:9" x14ac:dyDescent="0.25">
      <c r="A228" s="38"/>
      <c r="B228" s="39"/>
      <c r="C228" s="39"/>
      <c r="D228" s="39"/>
      <c r="E228" s="39"/>
      <c r="F228" s="39"/>
      <c r="G228" s="39"/>
      <c r="H228" s="39"/>
      <c r="I228" s="40"/>
    </row>
    <row r="229" spans="1:9" x14ac:dyDescent="0.25">
      <c r="A229" s="2"/>
      <c r="B229" s="35" t="s">
        <v>116</v>
      </c>
      <c r="C229" s="36"/>
      <c r="D229" s="36"/>
      <c r="E229" s="36"/>
      <c r="F229" s="36"/>
      <c r="G229" s="36"/>
      <c r="H229" s="36"/>
      <c r="I229" s="37"/>
    </row>
    <row r="230" spans="1:9" x14ac:dyDescent="0.25">
      <c r="A230" s="3" t="s">
        <v>110</v>
      </c>
      <c r="B230" s="3" t="s">
        <v>88</v>
      </c>
      <c r="C230" s="3" t="s">
        <v>105</v>
      </c>
      <c r="D230" s="3" t="s">
        <v>90</v>
      </c>
      <c r="E230" s="3" t="s">
        <v>105</v>
      </c>
      <c r="F230" s="3" t="s">
        <v>91</v>
      </c>
      <c r="G230" s="3" t="s">
        <v>105</v>
      </c>
      <c r="H230" s="3" t="s">
        <v>92</v>
      </c>
      <c r="I230" s="3" t="s">
        <v>105</v>
      </c>
    </row>
    <row r="231" spans="1:9" x14ac:dyDescent="0.25">
      <c r="A231" s="3">
        <v>1</v>
      </c>
      <c r="B231" s="2">
        <v>0.95340000000000003</v>
      </c>
      <c r="C231" s="2" t="s">
        <v>11</v>
      </c>
      <c r="D231" s="2">
        <v>3.56E-2</v>
      </c>
      <c r="E231" s="2" t="s">
        <v>11</v>
      </c>
      <c r="F231" s="2">
        <v>1.0500000000000001E-2</v>
      </c>
      <c r="G231" s="2" t="s">
        <v>11</v>
      </c>
      <c r="H231" s="2">
        <v>4.0000000000000002E-4</v>
      </c>
      <c r="I231" s="2" t="s">
        <v>11</v>
      </c>
    </row>
    <row r="232" spans="1:9" x14ac:dyDescent="0.25">
      <c r="A232" s="3">
        <v>2</v>
      </c>
      <c r="B232" s="2">
        <v>0.1346</v>
      </c>
      <c r="C232" s="2" t="s">
        <v>11</v>
      </c>
      <c r="D232" s="2">
        <v>0.80669999999999997</v>
      </c>
      <c r="E232" s="2" t="s">
        <v>11</v>
      </c>
      <c r="F232" s="2">
        <v>5.8400000000000001E-2</v>
      </c>
      <c r="G232" s="2" t="s">
        <v>11</v>
      </c>
      <c r="H232" s="2">
        <v>2.9999999999999997E-4</v>
      </c>
      <c r="I232" s="2" t="s">
        <v>11</v>
      </c>
    </row>
    <row r="233" spans="1:9" x14ac:dyDescent="0.25">
      <c r="A233" s="3">
        <v>3</v>
      </c>
      <c r="B233" s="2">
        <v>3.7400000000000003E-2</v>
      </c>
      <c r="C233" s="2" t="s">
        <v>11</v>
      </c>
      <c r="D233" s="2">
        <v>5.4699999999999999E-2</v>
      </c>
      <c r="E233" s="2" t="s">
        <v>11</v>
      </c>
      <c r="F233" s="2">
        <v>0.90459999999999996</v>
      </c>
      <c r="G233" s="2" t="s">
        <v>11</v>
      </c>
      <c r="H233" s="2">
        <v>3.3E-3</v>
      </c>
      <c r="I233" s="2" t="s">
        <v>11</v>
      </c>
    </row>
    <row r="234" spans="1:9" x14ac:dyDescent="0.25">
      <c r="A234" s="3">
        <v>4</v>
      </c>
      <c r="B234" s="2">
        <v>1.77E-2</v>
      </c>
      <c r="C234" s="2" t="s">
        <v>11</v>
      </c>
      <c r="D234" s="2">
        <v>2.8E-3</v>
      </c>
      <c r="E234" s="2" t="s">
        <v>11</v>
      </c>
      <c r="F234" s="2">
        <v>3.6799999999999999E-2</v>
      </c>
      <c r="G234" s="2" t="s">
        <v>11</v>
      </c>
      <c r="H234" s="2">
        <v>0.94269999999999998</v>
      </c>
      <c r="I234" s="2" t="s">
        <v>11</v>
      </c>
    </row>
  </sheetData>
  <mergeCells count="5">
    <mergeCell ref="A3:F3"/>
    <mergeCell ref="B69:F69"/>
    <mergeCell ref="B209:I209"/>
    <mergeCell ref="A228:I228"/>
    <mergeCell ref="B229:I229"/>
  </mergeCell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P204"/>
  <sheetViews>
    <sheetView workbookViewId="0">
      <selection activeCell="B18" sqref="B18"/>
    </sheetView>
  </sheetViews>
  <sheetFormatPr defaultRowHeight="15" x14ac:dyDescent="0.25"/>
  <cols>
    <col min="1" max="4" width="40.7109375" customWidth="1"/>
  </cols>
  <sheetData>
    <row r="1" spans="1:6" ht="37.5" x14ac:dyDescent="0.25">
      <c r="A1" s="1" t="s">
        <v>225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10148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16.473099999999999</v>
      </c>
      <c r="C7" s="2"/>
      <c r="D7" s="2"/>
      <c r="E7" s="2"/>
      <c r="F7" s="2"/>
    </row>
    <row r="8" spans="1:6" x14ac:dyDescent="0.25">
      <c r="A8" s="3" t="s">
        <v>4</v>
      </c>
      <c r="B8" s="2">
        <v>16.473099999999999</v>
      </c>
      <c r="C8" s="2"/>
      <c r="D8" s="2"/>
      <c r="E8" s="2"/>
      <c r="F8" s="2"/>
    </row>
    <row r="9" spans="1:6" x14ac:dyDescent="0.25">
      <c r="A9" s="3" t="s">
        <v>5</v>
      </c>
      <c r="B9" s="2">
        <v>70312</v>
      </c>
      <c r="C9" s="2"/>
      <c r="D9" s="2"/>
      <c r="E9" s="2"/>
      <c r="F9" s="2"/>
    </row>
    <row r="10" spans="1:6" x14ac:dyDescent="0.25">
      <c r="A10" s="3" t="s">
        <v>6</v>
      </c>
      <c r="B10" s="2">
        <v>70312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-9740.1744999999992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-9740.1744999999992</v>
      </c>
      <c r="C27" s="2"/>
      <c r="D27" s="2"/>
      <c r="E27" s="2"/>
      <c r="F27" s="2"/>
    </row>
    <row r="28" spans="1:6" x14ac:dyDescent="0.25">
      <c r="A28" s="3" t="s">
        <v>24</v>
      </c>
      <c r="B28" s="2">
        <v>19535.699199999999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19492.348999999998</v>
      </c>
      <c r="C29" s="2"/>
      <c r="D29" s="2"/>
      <c r="E29" s="2"/>
      <c r="F29" s="2"/>
    </row>
    <row r="30" spans="1:6" x14ac:dyDescent="0.25">
      <c r="A30" s="3" t="s">
        <v>26</v>
      </c>
      <c r="B30" s="2">
        <v>19498.348999999998</v>
      </c>
      <c r="C30" s="2"/>
      <c r="D30" s="2"/>
      <c r="E30" s="2"/>
      <c r="F30" s="2"/>
    </row>
    <row r="31" spans="1:6" x14ac:dyDescent="0.25">
      <c r="A31" s="3" t="s">
        <v>27</v>
      </c>
      <c r="B31" s="2">
        <v>19541.699199999999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19516.632000000001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0.36359999999999998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2.2000000000000001E-3</v>
      </c>
      <c r="C38" s="2"/>
      <c r="D38" s="2"/>
      <c r="E38" s="2"/>
      <c r="F38" s="2"/>
    </row>
    <row r="39" spans="1:6" x14ac:dyDescent="0.25">
      <c r="A39" s="3" t="s">
        <v>33</v>
      </c>
      <c r="B39" s="2">
        <v>1.1000000000000001E-3</v>
      </c>
      <c r="C39" s="2"/>
      <c r="D39" s="2"/>
      <c r="E39" s="2"/>
      <c r="F39" s="2"/>
    </row>
    <row r="40" spans="1:6" x14ac:dyDescent="0.25">
      <c r="A40" s="3" t="s">
        <v>34</v>
      </c>
      <c r="B40" s="2">
        <v>-19477.494500000001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9737.32</v>
      </c>
      <c r="C41" s="2"/>
      <c r="D41" s="2"/>
      <c r="E41" s="2"/>
      <c r="F41" s="2"/>
    </row>
    <row r="42" spans="1:6" x14ac:dyDescent="0.25">
      <c r="A42" s="3" t="s">
        <v>36</v>
      </c>
      <c r="B42" s="2">
        <v>38954.989000000001</v>
      </c>
      <c r="C42" s="2"/>
      <c r="D42" s="2"/>
      <c r="E42" s="2"/>
      <c r="F42" s="2"/>
    </row>
    <row r="43" spans="1:6" x14ac:dyDescent="0.25">
      <c r="A43" s="3" t="s">
        <v>37</v>
      </c>
      <c r="B43" s="2">
        <v>39083.689400000003</v>
      </c>
      <c r="C43" s="2"/>
      <c r="D43" s="2"/>
      <c r="E43" s="2"/>
      <c r="F43" s="2"/>
    </row>
    <row r="44" spans="1:6" x14ac:dyDescent="0.25">
      <c r="A44" s="3" t="s">
        <v>38</v>
      </c>
      <c r="B44" s="2">
        <v>39010.339200000002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6458.6136999999999</v>
      </c>
      <c r="C48" s="2">
        <v>0</v>
      </c>
      <c r="D48" s="2">
        <v>0</v>
      </c>
      <c r="E48" s="2">
        <v>0</v>
      </c>
      <c r="F48" s="2">
        <v>6458.6136999999999</v>
      </c>
    </row>
    <row r="49" spans="1:6" x14ac:dyDescent="0.25">
      <c r="A49" s="3" t="s">
        <v>43</v>
      </c>
      <c r="B49" s="2">
        <v>1706.0432000000001</v>
      </c>
      <c r="C49" s="2">
        <v>0</v>
      </c>
      <c r="D49" s="2">
        <v>0</v>
      </c>
      <c r="E49" s="2">
        <v>0</v>
      </c>
      <c r="F49" s="2">
        <v>1706.0432000000001</v>
      </c>
    </row>
    <row r="50" spans="1:6" x14ac:dyDescent="0.25">
      <c r="A50" s="3" t="s">
        <v>44</v>
      </c>
      <c r="B50" s="2">
        <v>1821.5264999999999</v>
      </c>
      <c r="C50" s="2">
        <v>0</v>
      </c>
      <c r="D50" s="2">
        <v>0</v>
      </c>
      <c r="E50" s="2">
        <v>0</v>
      </c>
      <c r="F50" s="2">
        <v>1821.5264999999999</v>
      </c>
    </row>
    <row r="51" spans="1:6" x14ac:dyDescent="0.25">
      <c r="A51" s="3" t="s">
        <v>45</v>
      </c>
      <c r="B51" s="2">
        <v>161.81659999999999</v>
      </c>
      <c r="C51" s="2">
        <v>0</v>
      </c>
      <c r="D51" s="2">
        <v>0</v>
      </c>
      <c r="E51" s="2">
        <v>0</v>
      </c>
      <c r="F51" s="2">
        <v>161.81659999999999</v>
      </c>
    </row>
    <row r="52" spans="1:6" x14ac:dyDescent="0.25">
      <c r="A52" s="3" t="s">
        <v>46</v>
      </c>
      <c r="B52" s="2">
        <v>10148</v>
      </c>
      <c r="C52" s="2">
        <v>0</v>
      </c>
      <c r="D52" s="2">
        <v>0</v>
      </c>
      <c r="E52" s="2">
        <v>0</v>
      </c>
      <c r="F52" s="2">
        <v>10148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4113.3730999999998</v>
      </c>
      <c r="C56" s="2">
        <v>1086.6356000000001</v>
      </c>
      <c r="D56" s="2">
        <v>1156.8306</v>
      </c>
      <c r="E56" s="2">
        <v>101.7744</v>
      </c>
      <c r="F56" s="2">
        <v>6458.6136999999999</v>
      </c>
    </row>
    <row r="57" spans="1:6" x14ac:dyDescent="0.25">
      <c r="A57" s="3" t="s">
        <v>43</v>
      </c>
      <c r="B57" s="2">
        <v>1086.6356000000001</v>
      </c>
      <c r="C57" s="2">
        <v>287.06079999999997</v>
      </c>
      <c r="D57" s="2">
        <v>305.50060000000002</v>
      </c>
      <c r="E57" s="2">
        <v>26.8462</v>
      </c>
      <c r="F57" s="2">
        <v>1706.0432000000001</v>
      </c>
    </row>
    <row r="58" spans="1:6" x14ac:dyDescent="0.25">
      <c r="A58" s="3" t="s">
        <v>44</v>
      </c>
      <c r="B58" s="2">
        <v>1156.8306</v>
      </c>
      <c r="C58" s="2">
        <v>305.50060000000002</v>
      </c>
      <c r="D58" s="2">
        <v>329.09730000000002</v>
      </c>
      <c r="E58" s="2">
        <v>30.098099999999999</v>
      </c>
      <c r="F58" s="2">
        <v>1821.5264999999999</v>
      </c>
    </row>
    <row r="59" spans="1:6" x14ac:dyDescent="0.25">
      <c r="A59" s="3" t="s">
        <v>45</v>
      </c>
      <c r="B59" s="2">
        <v>101.7744</v>
      </c>
      <c r="C59" s="2">
        <v>26.8462</v>
      </c>
      <c r="D59" s="2">
        <v>30.098099999999999</v>
      </c>
      <c r="E59" s="2">
        <v>3.0979000000000001</v>
      </c>
      <c r="F59" s="2">
        <v>161.81659999999999</v>
      </c>
    </row>
    <row r="60" spans="1:6" x14ac:dyDescent="0.25">
      <c r="A60" s="3" t="s">
        <v>46</v>
      </c>
      <c r="B60" s="2">
        <v>6458.6136999999999</v>
      </c>
      <c r="C60" s="2">
        <v>1706.0432000000001</v>
      </c>
      <c r="D60" s="2">
        <v>1821.5264999999999</v>
      </c>
      <c r="E60" s="2">
        <v>161.81659999999999</v>
      </c>
      <c r="F60" s="2">
        <v>10148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0.36359999999999998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2.2000000000000001E-3</v>
      </c>
      <c r="C65" s="2"/>
      <c r="D65" s="2"/>
      <c r="E65" s="2"/>
      <c r="F65" s="2"/>
    </row>
    <row r="66" spans="1:6" x14ac:dyDescent="0.25">
      <c r="A66" s="3" t="s">
        <v>33</v>
      </c>
      <c r="B66" s="2">
        <v>1.1000000000000001E-3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226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10148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619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0.99988560000000004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0.99988832999999999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0.99990659999999998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619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7.8660000000000006E-12</v>
      </c>
      <c r="B114" s="4">
        <v>7.8660149999999996E-12</v>
      </c>
      <c r="C114" s="2"/>
      <c r="D114" s="2"/>
      <c r="E114" s="2"/>
      <c r="F114" s="2"/>
    </row>
    <row r="115" spans="1:6" x14ac:dyDescent="0.25">
      <c r="A115" s="5">
        <v>1.8309999999999999E-11</v>
      </c>
      <c r="B115" s="4">
        <v>1.8309181000000002E-11</v>
      </c>
      <c r="C115" s="2"/>
      <c r="D115" s="2"/>
      <c r="E115" s="2"/>
      <c r="F115" s="2"/>
    </row>
    <row r="116" spans="1:6" x14ac:dyDescent="0.25">
      <c r="A116" s="5">
        <v>2.6130000000000001E-11</v>
      </c>
      <c r="B116" s="4">
        <v>2.6131349000000001E-11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0.99999983999999997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619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619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227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1.4641999999999999</v>
      </c>
      <c r="C148" s="2">
        <v>0.1356</v>
      </c>
      <c r="D148" s="2">
        <v>10.801</v>
      </c>
      <c r="E148" s="2">
        <v>0.1293</v>
      </c>
      <c r="F148" s="2">
        <v>0.1757</v>
      </c>
      <c r="G148" s="2">
        <v>0.7359</v>
      </c>
      <c r="H148" s="2">
        <v>0.30809999999999998</v>
      </c>
      <c r="I148" s="2">
        <v>0.16120000000000001</v>
      </c>
      <c r="J148" s="2">
        <v>1.9119999999999999</v>
      </c>
      <c r="K148" s="2">
        <v>-1.9016</v>
      </c>
      <c r="L148" s="2">
        <v>0.29509999999999997</v>
      </c>
      <c r="M148" s="2">
        <v>-6.444</v>
      </c>
      <c r="N148" s="2">
        <v>117.8633</v>
      </c>
      <c r="O148" s="4">
        <v>2.2000000000000002E-25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227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0.1668</v>
      </c>
      <c r="C152" s="2">
        <v>0.1336</v>
      </c>
      <c r="D152" s="2">
        <v>1.2486999999999999</v>
      </c>
      <c r="E152" s="2">
        <v>0.17169999999999999</v>
      </c>
      <c r="F152" s="2">
        <v>0.17069999999999999</v>
      </c>
      <c r="G152" s="2">
        <v>1.0057</v>
      </c>
      <c r="H152" s="2">
        <v>1.5299999999999999E-2</v>
      </c>
      <c r="I152" s="2">
        <v>0.16</v>
      </c>
      <c r="J152" s="2">
        <v>9.6000000000000002E-2</v>
      </c>
      <c r="K152" s="2">
        <v>-0.3538</v>
      </c>
      <c r="L152" s="2">
        <v>0.29249999999999998</v>
      </c>
      <c r="M152" s="2">
        <v>-1.2097</v>
      </c>
      <c r="N152" s="2">
        <v>2.3264999999999998</v>
      </c>
      <c r="O152" s="2">
        <v>0.51</v>
      </c>
      <c r="P152" s="2"/>
    </row>
    <row r="153" spans="1:16" x14ac:dyDescent="0.25">
      <c r="A153" s="3">
        <v>100</v>
      </c>
      <c r="B153" s="2">
        <v>-0.1668</v>
      </c>
      <c r="C153" s="2">
        <v>0.1336</v>
      </c>
      <c r="D153" s="2">
        <v>-1.2486999999999999</v>
      </c>
      <c r="E153" s="2">
        <v>-0.17169999999999999</v>
      </c>
      <c r="F153" s="2">
        <v>0.17069999999999999</v>
      </c>
      <c r="G153" s="2">
        <v>-1.0057</v>
      </c>
      <c r="H153" s="2">
        <v>-1.5299999999999999E-2</v>
      </c>
      <c r="I153" s="2">
        <v>0.16</v>
      </c>
      <c r="J153" s="2">
        <v>-9.6000000000000002E-2</v>
      </c>
      <c r="K153" s="2">
        <v>0.3538</v>
      </c>
      <c r="L153" s="2">
        <v>0.29249999999999998</v>
      </c>
      <c r="M153" s="2">
        <v>1.2097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41.334400000000002</v>
      </c>
      <c r="E160" s="2">
        <v>1</v>
      </c>
      <c r="F160" s="4">
        <v>1.2999999999999999E-10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39.861800000000002</v>
      </c>
      <c r="E161" s="2">
        <v>1</v>
      </c>
      <c r="F161" s="4">
        <v>2.7E-10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71.181299999999993</v>
      </c>
      <c r="E162" s="2">
        <v>1</v>
      </c>
      <c r="F162" s="4">
        <v>3.3E-17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0.51690000000000003</v>
      </c>
      <c r="E163" s="2">
        <v>1</v>
      </c>
      <c r="F163" s="2">
        <v>0.47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22.823699999999999</v>
      </c>
      <c r="E164" s="2">
        <v>1</v>
      </c>
      <c r="F164" s="4">
        <v>1.7999999999999999E-6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28.596499999999999</v>
      </c>
      <c r="E165" s="2">
        <v>1</v>
      </c>
      <c r="F165" s="4">
        <v>8.9000000000000003E-8</v>
      </c>
    </row>
    <row r="166" spans="1:9" x14ac:dyDescent="0.25">
      <c r="A166" s="3" t="s">
        <v>227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5.9999999999999995E-4</v>
      </c>
      <c r="E167" s="2">
        <v>1</v>
      </c>
      <c r="F167" s="2">
        <v>0.98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0.7056</v>
      </c>
      <c r="E168" s="2">
        <v>1</v>
      </c>
      <c r="F168" s="2">
        <v>0.4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1.7438</v>
      </c>
      <c r="E169" s="2">
        <v>1</v>
      </c>
      <c r="F169" s="2">
        <v>0.19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0.42049999999999998</v>
      </c>
      <c r="E170" s="2">
        <v>1</v>
      </c>
      <c r="F170" s="2">
        <v>0.52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1.5778000000000001</v>
      </c>
      <c r="E171" s="2">
        <v>1</v>
      </c>
      <c r="F171" s="2">
        <v>0.21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0.80230000000000001</v>
      </c>
      <c r="E172" s="2">
        <v>1</v>
      </c>
      <c r="F172" s="2">
        <v>0.37</v>
      </c>
    </row>
    <row r="174" spans="1:9" ht="18.75" x14ac:dyDescent="0.25">
      <c r="A174" s="1" t="s">
        <v>111</v>
      </c>
    </row>
    <row r="176" spans="1:9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0.63639999999999997</v>
      </c>
      <c r="C177" s="2">
        <v>2.2700000000000001E-2</v>
      </c>
      <c r="D177" s="2">
        <v>0.1681</v>
      </c>
      <c r="E177" s="2">
        <v>1.9199999999999998E-2</v>
      </c>
      <c r="F177" s="2">
        <v>0.17949999999999999</v>
      </c>
      <c r="G177" s="2">
        <v>1.7500000000000002E-2</v>
      </c>
      <c r="H177" s="2">
        <v>1.5900000000000001E-2</v>
      </c>
      <c r="I177" s="2">
        <v>5.3E-3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227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0.87939999999999996</v>
      </c>
      <c r="C180" s="2" t="s">
        <v>11</v>
      </c>
      <c r="D180" s="2">
        <v>0.88039999999999996</v>
      </c>
      <c r="E180" s="2" t="s">
        <v>11</v>
      </c>
      <c r="F180" s="2">
        <v>0.84340000000000004</v>
      </c>
      <c r="G180" s="2" t="s">
        <v>11</v>
      </c>
      <c r="H180" s="2">
        <v>0.72019999999999995</v>
      </c>
      <c r="I180" s="2" t="s">
        <v>11</v>
      </c>
    </row>
    <row r="181" spans="1:9" x14ac:dyDescent="0.25">
      <c r="A181" s="3">
        <v>100</v>
      </c>
      <c r="B181" s="2">
        <v>0.1206</v>
      </c>
      <c r="C181" s="2" t="s">
        <v>11</v>
      </c>
      <c r="D181" s="2">
        <v>0.1196</v>
      </c>
      <c r="E181" s="2" t="s">
        <v>11</v>
      </c>
      <c r="F181" s="2">
        <v>0.15659999999999999</v>
      </c>
      <c r="G181" s="2" t="s">
        <v>11</v>
      </c>
      <c r="H181" s="2">
        <v>0.27979999999999999</v>
      </c>
      <c r="I181" s="2" t="s">
        <v>11</v>
      </c>
    </row>
    <row r="183" spans="1:9" ht="18.75" x14ac:dyDescent="0.25">
      <c r="A183" s="1" t="s">
        <v>113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0.63639999999999997</v>
      </c>
      <c r="C186" s="2">
        <v>0.1681</v>
      </c>
      <c r="D186" s="2">
        <v>0.17949999999999999</v>
      </c>
      <c r="E186" s="2">
        <v>1.5900000000000001E-2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227</v>
      </c>
      <c r="B188" s="2"/>
      <c r="C188" s="2"/>
      <c r="D188" s="2"/>
      <c r="E188" s="2"/>
    </row>
    <row r="189" spans="1:9" x14ac:dyDescent="0.25">
      <c r="A189" s="3">
        <v>0</v>
      </c>
      <c r="B189" s="2">
        <v>0.64290000000000003</v>
      </c>
      <c r="C189" s="2">
        <v>0.17</v>
      </c>
      <c r="D189" s="2">
        <v>0.1739</v>
      </c>
      <c r="E189" s="2">
        <v>1.32E-2</v>
      </c>
    </row>
    <row r="190" spans="1:9" x14ac:dyDescent="0.25">
      <c r="A190" s="3">
        <v>100</v>
      </c>
      <c r="B190" s="2">
        <v>0.59309999999999996</v>
      </c>
      <c r="C190" s="2">
        <v>0.15529999999999999</v>
      </c>
      <c r="D190" s="2">
        <v>0.2172</v>
      </c>
      <c r="E190" s="2">
        <v>3.4500000000000003E-2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227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>
        <v>0</v>
      </c>
      <c r="B196" s="2">
        <v>0.64290000000000003</v>
      </c>
      <c r="C196" s="2">
        <v>2.41E-2</v>
      </c>
      <c r="D196" s="2">
        <v>0.17</v>
      </c>
      <c r="E196" s="2">
        <v>2.06E-2</v>
      </c>
      <c r="F196" s="2">
        <v>0.1739</v>
      </c>
      <c r="G196" s="2">
        <v>1.7999999999999999E-2</v>
      </c>
      <c r="H196" s="2">
        <v>1.32E-2</v>
      </c>
      <c r="I196" s="2">
        <v>5.1000000000000004E-3</v>
      </c>
    </row>
    <row r="197" spans="1:9" x14ac:dyDescent="0.25">
      <c r="A197" s="3">
        <v>100</v>
      </c>
      <c r="B197" s="2">
        <v>0.59309999999999996</v>
      </c>
      <c r="C197" s="2">
        <v>6.6000000000000003E-2</v>
      </c>
      <c r="D197" s="2">
        <v>0.15529999999999999</v>
      </c>
      <c r="E197" s="2">
        <v>4.9000000000000002E-2</v>
      </c>
      <c r="F197" s="2">
        <v>0.2172</v>
      </c>
      <c r="G197" s="2">
        <v>5.62E-2</v>
      </c>
      <c r="H197" s="2">
        <v>3.4500000000000003E-2</v>
      </c>
      <c r="I197" s="2">
        <v>2.2599999999999999E-2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0.95340000000000003</v>
      </c>
      <c r="C201" s="2" t="s">
        <v>11</v>
      </c>
      <c r="D201" s="2">
        <v>3.56E-2</v>
      </c>
      <c r="E201" s="2" t="s">
        <v>11</v>
      </c>
      <c r="F201" s="2">
        <v>1.0500000000000001E-2</v>
      </c>
      <c r="G201" s="2" t="s">
        <v>11</v>
      </c>
      <c r="H201" s="2">
        <v>4.0000000000000002E-4</v>
      </c>
      <c r="I201" s="2" t="s">
        <v>11</v>
      </c>
    </row>
    <row r="202" spans="1:9" x14ac:dyDescent="0.25">
      <c r="A202" s="3">
        <v>2</v>
      </c>
      <c r="B202" s="2">
        <v>0.1346</v>
      </c>
      <c r="C202" s="2" t="s">
        <v>11</v>
      </c>
      <c r="D202" s="2">
        <v>0.80669999999999997</v>
      </c>
      <c r="E202" s="2" t="s">
        <v>11</v>
      </c>
      <c r="F202" s="2">
        <v>5.8400000000000001E-2</v>
      </c>
      <c r="G202" s="2" t="s">
        <v>11</v>
      </c>
      <c r="H202" s="2">
        <v>2.9999999999999997E-4</v>
      </c>
      <c r="I202" s="2" t="s">
        <v>11</v>
      </c>
    </row>
    <row r="203" spans="1:9" x14ac:dyDescent="0.25">
      <c r="A203" s="3">
        <v>3</v>
      </c>
      <c r="B203" s="2">
        <v>3.7400000000000003E-2</v>
      </c>
      <c r="C203" s="2" t="s">
        <v>11</v>
      </c>
      <c r="D203" s="2">
        <v>5.4699999999999999E-2</v>
      </c>
      <c r="E203" s="2" t="s">
        <v>11</v>
      </c>
      <c r="F203" s="2">
        <v>0.90459999999999996</v>
      </c>
      <c r="G203" s="2" t="s">
        <v>11</v>
      </c>
      <c r="H203" s="2">
        <v>3.3E-3</v>
      </c>
      <c r="I203" s="2" t="s">
        <v>11</v>
      </c>
    </row>
    <row r="204" spans="1:9" x14ac:dyDescent="0.25">
      <c r="A204" s="3">
        <v>4</v>
      </c>
      <c r="B204" s="2">
        <v>1.77E-2</v>
      </c>
      <c r="C204" s="2" t="s">
        <v>11</v>
      </c>
      <c r="D204" s="2">
        <v>2.8E-3</v>
      </c>
      <c r="E204" s="2" t="s">
        <v>11</v>
      </c>
      <c r="F204" s="2">
        <v>3.6799999999999999E-2</v>
      </c>
      <c r="G204" s="2" t="s">
        <v>11</v>
      </c>
      <c r="H204" s="2">
        <v>0.94269999999999998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P204"/>
  <sheetViews>
    <sheetView workbookViewId="0"/>
  </sheetViews>
  <sheetFormatPr defaultColWidth="36.28515625" defaultRowHeight="15" x14ac:dyDescent="0.25"/>
  <sheetData>
    <row r="1" spans="1:6" ht="37.5" x14ac:dyDescent="0.25">
      <c r="A1" s="1" t="s">
        <v>179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13376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15.623900000000001</v>
      </c>
      <c r="C7" s="2"/>
      <c r="D7" s="2"/>
      <c r="E7" s="2"/>
      <c r="F7" s="2"/>
    </row>
    <row r="8" spans="1:6" x14ac:dyDescent="0.25">
      <c r="A8" s="3" t="s">
        <v>4</v>
      </c>
      <c r="B8" s="2">
        <v>15.623900000000001</v>
      </c>
      <c r="C8" s="2"/>
      <c r="D8" s="2"/>
      <c r="E8" s="2"/>
      <c r="F8" s="2"/>
    </row>
    <row r="9" spans="1:6" x14ac:dyDescent="0.25">
      <c r="A9" s="3" t="s">
        <v>5</v>
      </c>
      <c r="B9" s="2">
        <v>358667</v>
      </c>
      <c r="C9" s="2"/>
      <c r="D9" s="2"/>
      <c r="E9" s="2"/>
      <c r="F9" s="2"/>
    </row>
    <row r="10" spans="1:6" x14ac:dyDescent="0.25">
      <c r="A10" s="3" t="s">
        <v>6</v>
      </c>
      <c r="B10" s="2">
        <v>358667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-12482.115900000001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-12482.115900000001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25021.2392</v>
      </c>
      <c r="C28" s="2"/>
      <c r="D28" s="2"/>
      <c r="E28" s="2"/>
      <c r="F28" s="2"/>
    </row>
    <row r="29" spans="1:6" x14ac:dyDescent="0.25">
      <c r="A29" s="3" t="s">
        <v>25</v>
      </c>
      <c r="B29" s="2">
        <v>24976.231899999999</v>
      </c>
      <c r="C29" s="2"/>
      <c r="D29" s="2"/>
      <c r="E29" s="2"/>
      <c r="F29" s="2"/>
    </row>
    <row r="30" spans="1:6" x14ac:dyDescent="0.25">
      <c r="A30" s="3" t="s">
        <v>26</v>
      </c>
      <c r="B30" s="2">
        <v>24982.231899999999</v>
      </c>
      <c r="C30" s="2"/>
      <c r="D30" s="2"/>
      <c r="E30" s="2"/>
      <c r="F30" s="2"/>
    </row>
    <row r="31" spans="1:6" x14ac:dyDescent="0.25">
      <c r="A31" s="3" t="s">
        <v>27</v>
      </c>
      <c r="B31" s="2">
        <v>25027.2392</v>
      </c>
      <c r="C31" s="2"/>
      <c r="D31" s="2"/>
      <c r="E31" s="2"/>
      <c r="F31" s="2"/>
    </row>
    <row r="32" spans="1:6" x14ac:dyDescent="0.25">
      <c r="A32" s="3" t="s">
        <v>28</v>
      </c>
      <c r="B32" s="2">
        <v>25002.1718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0.3417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5.9999999999999995E-4</v>
      </c>
      <c r="C38" s="2"/>
      <c r="D38" s="2"/>
      <c r="E38" s="2"/>
      <c r="F38" s="2"/>
    </row>
    <row r="39" spans="1:6" x14ac:dyDescent="0.25">
      <c r="A39" s="3" t="s">
        <v>33</v>
      </c>
      <c r="B39" s="2">
        <v>5.0000000000000001E-4</v>
      </c>
      <c r="C39" s="2"/>
      <c r="D39" s="2"/>
      <c r="E39" s="2"/>
      <c r="F39" s="2"/>
    </row>
    <row r="40" spans="1:6" x14ac:dyDescent="0.25">
      <c r="A40" s="3" t="s">
        <v>34</v>
      </c>
      <c r="B40" s="2">
        <v>-24962.715199999999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12480.599200000001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49925.4303</v>
      </c>
      <c r="C42" s="2"/>
      <c r="D42" s="2"/>
      <c r="E42" s="2"/>
      <c r="F42" s="2"/>
    </row>
    <row r="43" spans="1:6" x14ac:dyDescent="0.25">
      <c r="A43" s="3" t="s">
        <v>37</v>
      </c>
      <c r="B43" s="2">
        <v>50057.444900000002</v>
      </c>
      <c r="C43" s="2"/>
      <c r="D43" s="2"/>
      <c r="E43" s="2"/>
      <c r="F43" s="2"/>
    </row>
    <row r="44" spans="1:6" x14ac:dyDescent="0.25">
      <c r="A44" s="3" t="s">
        <v>38</v>
      </c>
      <c r="B44" s="2">
        <v>49982.437599999997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8805.5491999999995</v>
      </c>
      <c r="C48" s="2">
        <v>0</v>
      </c>
      <c r="D48" s="2">
        <v>0</v>
      </c>
      <c r="E48" s="2">
        <v>0</v>
      </c>
      <c r="F48" s="2">
        <v>8805.5491999999995</v>
      </c>
    </row>
    <row r="49" spans="1:6" x14ac:dyDescent="0.25">
      <c r="A49" s="3" t="s">
        <v>43</v>
      </c>
      <c r="B49" s="2">
        <v>2203.6221</v>
      </c>
      <c r="C49" s="2">
        <v>0</v>
      </c>
      <c r="D49" s="2">
        <v>0</v>
      </c>
      <c r="E49" s="2">
        <v>0</v>
      </c>
      <c r="F49" s="2">
        <v>2203.6221</v>
      </c>
    </row>
    <row r="50" spans="1:6" x14ac:dyDescent="0.25">
      <c r="A50" s="3" t="s">
        <v>44</v>
      </c>
      <c r="B50" s="2">
        <v>2146.2377999999999</v>
      </c>
      <c r="C50" s="2">
        <v>0</v>
      </c>
      <c r="D50" s="2">
        <v>0</v>
      </c>
      <c r="E50" s="2">
        <v>0</v>
      </c>
      <c r="F50" s="2">
        <v>2146.2377999999999</v>
      </c>
    </row>
    <row r="51" spans="1:6" x14ac:dyDescent="0.25">
      <c r="A51" s="3" t="s">
        <v>45</v>
      </c>
      <c r="B51" s="2">
        <v>220.5909</v>
      </c>
      <c r="C51" s="2">
        <v>0</v>
      </c>
      <c r="D51" s="2">
        <v>0</v>
      </c>
      <c r="E51" s="2">
        <v>0</v>
      </c>
      <c r="F51" s="2">
        <v>220.5909</v>
      </c>
    </row>
    <row r="52" spans="1:6" x14ac:dyDescent="0.25">
      <c r="A52" s="3" t="s">
        <v>46</v>
      </c>
      <c r="B52" s="2">
        <v>13376</v>
      </c>
      <c r="C52" s="2">
        <v>0</v>
      </c>
      <c r="D52" s="2">
        <v>0</v>
      </c>
      <c r="E52" s="2">
        <v>0</v>
      </c>
      <c r="F52" s="2">
        <v>13376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5798.0087999999996</v>
      </c>
      <c r="C56" s="2">
        <v>1451.0235</v>
      </c>
      <c r="D56" s="2">
        <v>1411.3661</v>
      </c>
      <c r="E56" s="2">
        <v>145.1507</v>
      </c>
      <c r="F56" s="2">
        <v>8805.5491999999995</v>
      </c>
    </row>
    <row r="57" spans="1:6" x14ac:dyDescent="0.25">
      <c r="A57" s="3" t="s">
        <v>43</v>
      </c>
      <c r="B57" s="2">
        <v>1451.0235</v>
      </c>
      <c r="C57" s="2">
        <v>363.1386</v>
      </c>
      <c r="D57" s="2">
        <v>353.13810000000001</v>
      </c>
      <c r="E57" s="2">
        <v>36.321800000000003</v>
      </c>
      <c r="F57" s="2">
        <v>2203.6221</v>
      </c>
    </row>
    <row r="58" spans="1:6" x14ac:dyDescent="0.25">
      <c r="A58" s="3" t="s">
        <v>44</v>
      </c>
      <c r="B58" s="2">
        <v>1411.3661</v>
      </c>
      <c r="C58" s="2">
        <v>353.13810000000001</v>
      </c>
      <c r="D58" s="2">
        <v>346.25670000000002</v>
      </c>
      <c r="E58" s="2">
        <v>35.476900000000001</v>
      </c>
      <c r="F58" s="2">
        <v>2146.2377999999999</v>
      </c>
    </row>
    <row r="59" spans="1:6" x14ac:dyDescent="0.25">
      <c r="A59" s="3" t="s">
        <v>45</v>
      </c>
      <c r="B59" s="2">
        <v>145.1507</v>
      </c>
      <c r="C59" s="2">
        <v>36.321800000000003</v>
      </c>
      <c r="D59" s="2">
        <v>35.476900000000001</v>
      </c>
      <c r="E59" s="2">
        <v>3.6415000000000002</v>
      </c>
      <c r="F59" s="2">
        <v>220.5909</v>
      </c>
    </row>
    <row r="60" spans="1:6" x14ac:dyDescent="0.25">
      <c r="A60" s="3" t="s">
        <v>46</v>
      </c>
      <c r="B60" s="2">
        <v>8805.5491999999995</v>
      </c>
      <c r="C60" s="2">
        <v>2203.6221</v>
      </c>
      <c r="D60" s="2">
        <v>2146.2377999999999</v>
      </c>
      <c r="E60" s="2">
        <v>220.5909</v>
      </c>
      <c r="F60" s="2">
        <v>13376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0.3417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5.9999999999999995E-4</v>
      </c>
      <c r="C65" s="2"/>
      <c r="D65" s="2"/>
      <c r="E65" s="2"/>
      <c r="F65" s="2"/>
    </row>
    <row r="66" spans="1:6" x14ac:dyDescent="0.25">
      <c r="A66" s="3" t="s">
        <v>33</v>
      </c>
      <c r="B66" s="2">
        <v>5.0000000000000001E-4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358667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13376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180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>
        <v>0</v>
      </c>
      <c r="B141" s="2">
        <v>0</v>
      </c>
      <c r="C141" s="2"/>
      <c r="D141" s="2"/>
      <c r="E141" s="2"/>
      <c r="F141" s="2"/>
    </row>
    <row r="142" spans="1:6" x14ac:dyDescent="0.25">
      <c r="A142" s="3">
        <v>100</v>
      </c>
      <c r="B142" s="2">
        <v>100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1.6319999999999999</v>
      </c>
      <c r="C148" s="2">
        <v>9.4600000000000004E-2</v>
      </c>
      <c r="D148" s="2">
        <v>17.254000000000001</v>
      </c>
      <c r="E148" s="2">
        <v>0.24740000000000001</v>
      </c>
      <c r="F148" s="2">
        <v>0.1215</v>
      </c>
      <c r="G148" s="2">
        <v>2.0362</v>
      </c>
      <c r="H148" s="2">
        <v>0.18990000000000001</v>
      </c>
      <c r="I148" s="2">
        <v>0.1158</v>
      </c>
      <c r="J148" s="2">
        <v>1.6397999999999999</v>
      </c>
      <c r="K148" s="2">
        <v>-2.0693999999999999</v>
      </c>
      <c r="L148" s="2">
        <v>0.23680000000000001</v>
      </c>
      <c r="M148" s="2">
        <v>-8.7406000000000006</v>
      </c>
      <c r="N148" s="2">
        <v>348.31349999999998</v>
      </c>
      <c r="O148" s="4">
        <v>3.4000000000000002E-75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180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>
        <v>0</v>
      </c>
      <c r="B152" s="2">
        <v>3.5099999999999999E-2</v>
      </c>
      <c r="C152" s="2">
        <v>9.4E-2</v>
      </c>
      <c r="D152" s="2">
        <v>0.37330000000000002</v>
      </c>
      <c r="E152" s="2">
        <v>3.7499999999999999E-2</v>
      </c>
      <c r="F152" s="2">
        <v>0.1196</v>
      </c>
      <c r="G152" s="2">
        <v>0.31390000000000001</v>
      </c>
      <c r="H152" s="2">
        <v>-5.9400000000000001E-2</v>
      </c>
      <c r="I152" s="2">
        <v>0.1162</v>
      </c>
      <c r="J152" s="2">
        <v>-0.51100000000000001</v>
      </c>
      <c r="K152" s="2">
        <v>-1.32E-2</v>
      </c>
      <c r="L152" s="2">
        <v>0.23480000000000001</v>
      </c>
      <c r="M152" s="2">
        <v>-5.6399999999999999E-2</v>
      </c>
      <c r="N152" s="2">
        <v>0.69710000000000005</v>
      </c>
      <c r="O152" s="2">
        <v>0.87</v>
      </c>
      <c r="P152" s="2"/>
    </row>
    <row r="153" spans="1:16" x14ac:dyDescent="0.25">
      <c r="A153" s="3">
        <v>100</v>
      </c>
      <c r="B153" s="2">
        <v>-3.5099999999999999E-2</v>
      </c>
      <c r="C153" s="2">
        <v>9.4E-2</v>
      </c>
      <c r="D153" s="2">
        <v>-0.37330000000000002</v>
      </c>
      <c r="E153" s="2">
        <v>-3.7499999999999999E-2</v>
      </c>
      <c r="F153" s="2">
        <v>0.1196</v>
      </c>
      <c r="G153" s="2">
        <v>-0.31390000000000001</v>
      </c>
      <c r="H153" s="2">
        <v>5.9400000000000001E-2</v>
      </c>
      <c r="I153" s="2">
        <v>0.1162</v>
      </c>
      <c r="J153" s="2">
        <v>0.51100000000000001</v>
      </c>
      <c r="K153" s="2">
        <v>1.32E-2</v>
      </c>
      <c r="L153" s="2">
        <v>0.23480000000000001</v>
      </c>
      <c r="M153" s="2">
        <v>5.6399999999999999E-2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114.85939999999999</v>
      </c>
      <c r="E160" s="2">
        <v>1</v>
      </c>
      <c r="F160" s="4">
        <v>8.4000000000000006E-27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157.44489999999999</v>
      </c>
      <c r="E161" s="2">
        <v>1</v>
      </c>
      <c r="F161" s="4">
        <v>4.1000000000000001E-36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138.29050000000001</v>
      </c>
      <c r="E162" s="2">
        <v>1</v>
      </c>
      <c r="F162" s="4">
        <v>6.2999999999999997E-32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0.12989999999999999</v>
      </c>
      <c r="E163" s="2">
        <v>1</v>
      </c>
      <c r="F163" s="2">
        <v>0.72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48.745699999999999</v>
      </c>
      <c r="E164" s="2">
        <v>1</v>
      </c>
      <c r="F164" s="4">
        <v>2.9000000000000002E-12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47.171999999999997</v>
      </c>
      <c r="E165" s="2">
        <v>1</v>
      </c>
      <c r="F165" s="4">
        <v>6.5000000000000002E-12</v>
      </c>
    </row>
    <row r="166" spans="1:9" x14ac:dyDescent="0.25">
      <c r="A166" s="3" t="s">
        <v>180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4.0000000000000002E-4</v>
      </c>
      <c r="E167" s="2">
        <v>1</v>
      </c>
      <c r="F167" s="2">
        <v>0.98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0.66759999999999997</v>
      </c>
      <c r="E168" s="2">
        <v>1</v>
      </c>
      <c r="F168" s="2">
        <v>0.41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2.3900000000000001E-2</v>
      </c>
      <c r="E169" s="2">
        <v>1</v>
      </c>
      <c r="F169" s="2">
        <v>0.88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0.36820000000000003</v>
      </c>
      <c r="E170" s="2">
        <v>1</v>
      </c>
      <c r="F170" s="2">
        <v>0.54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2.4E-2</v>
      </c>
      <c r="E171" s="2">
        <v>1</v>
      </c>
      <c r="F171" s="2">
        <v>0.88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1.9900000000000001E-2</v>
      </c>
      <c r="E172" s="2">
        <v>1</v>
      </c>
      <c r="F172" s="2">
        <v>0.89</v>
      </c>
    </row>
    <row r="174" spans="1:9" ht="18.75" x14ac:dyDescent="0.25">
      <c r="A174" s="1" t="s">
        <v>111</v>
      </c>
    </row>
    <row r="176" spans="1:9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0.6583</v>
      </c>
      <c r="C177" s="2">
        <v>1.9E-2</v>
      </c>
      <c r="D177" s="2">
        <v>0.16470000000000001</v>
      </c>
      <c r="E177" s="2">
        <v>1.61E-2</v>
      </c>
      <c r="F177" s="2">
        <v>0.1605</v>
      </c>
      <c r="G177" s="2">
        <v>1.4E-2</v>
      </c>
      <c r="H177" s="2">
        <v>1.6500000000000001E-2</v>
      </c>
      <c r="I177" s="2">
        <v>4.4999999999999997E-3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180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>
        <v>0</v>
      </c>
      <c r="B180" s="2">
        <v>0.36049999999999999</v>
      </c>
      <c r="C180" s="2" t="s">
        <v>11</v>
      </c>
      <c r="D180" s="2">
        <v>0.36159999999999998</v>
      </c>
      <c r="E180" s="2" t="s">
        <v>11</v>
      </c>
      <c r="F180" s="2">
        <v>0.31809999999999999</v>
      </c>
      <c r="G180" s="2" t="s">
        <v>11</v>
      </c>
      <c r="H180" s="2">
        <v>0.33850000000000002</v>
      </c>
      <c r="I180" s="2" t="s">
        <v>11</v>
      </c>
    </row>
    <row r="181" spans="1:9" x14ac:dyDescent="0.25">
      <c r="A181" s="3">
        <v>100</v>
      </c>
      <c r="B181" s="2">
        <v>0.63949999999999996</v>
      </c>
      <c r="C181" s="2" t="s">
        <v>11</v>
      </c>
      <c r="D181" s="2">
        <v>0.63839999999999997</v>
      </c>
      <c r="E181" s="2" t="s">
        <v>11</v>
      </c>
      <c r="F181" s="2">
        <v>0.68189999999999995</v>
      </c>
      <c r="G181" s="2" t="s">
        <v>11</v>
      </c>
      <c r="H181" s="2">
        <v>0.66149999999999998</v>
      </c>
      <c r="I181" s="2" t="s">
        <v>11</v>
      </c>
    </row>
    <row r="183" spans="1:9" ht="18.75" x14ac:dyDescent="0.25">
      <c r="A183" s="1" t="s">
        <v>113</v>
      </c>
    </row>
    <row r="185" spans="1:9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0.6583</v>
      </c>
      <c r="C186" s="2">
        <v>0.16470000000000001</v>
      </c>
      <c r="D186" s="2">
        <v>0.1605</v>
      </c>
      <c r="E186" s="2">
        <v>1.6500000000000001E-2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180</v>
      </c>
      <c r="B188" s="2"/>
      <c r="C188" s="2"/>
      <c r="D188" s="2"/>
      <c r="E188" s="2"/>
    </row>
    <row r="189" spans="1:9" x14ac:dyDescent="0.25">
      <c r="A189" s="3">
        <v>0</v>
      </c>
      <c r="B189" s="2">
        <v>0.67130000000000001</v>
      </c>
      <c r="C189" s="2">
        <v>0.16850000000000001</v>
      </c>
      <c r="D189" s="2">
        <v>0.1444</v>
      </c>
      <c r="E189" s="2">
        <v>1.5800000000000002E-2</v>
      </c>
    </row>
    <row r="190" spans="1:9" x14ac:dyDescent="0.25">
      <c r="A190" s="3">
        <v>100</v>
      </c>
      <c r="B190" s="2">
        <v>0.6512</v>
      </c>
      <c r="C190" s="2">
        <v>0.16270000000000001</v>
      </c>
      <c r="D190" s="2">
        <v>0.16919999999999999</v>
      </c>
      <c r="E190" s="2">
        <v>1.6899999999999998E-2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180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>
        <v>0</v>
      </c>
      <c r="B196" s="2">
        <v>0.67130000000000001</v>
      </c>
      <c r="C196" s="2">
        <v>3.3300000000000003E-2</v>
      </c>
      <c r="D196" s="2">
        <v>0.16850000000000001</v>
      </c>
      <c r="E196" s="2">
        <v>2.98E-2</v>
      </c>
      <c r="F196" s="2">
        <v>0.1444</v>
      </c>
      <c r="G196" s="2">
        <v>2.3800000000000002E-2</v>
      </c>
      <c r="H196" s="2">
        <v>1.5800000000000002E-2</v>
      </c>
      <c r="I196" s="2">
        <v>8.3999999999999995E-3</v>
      </c>
    </row>
    <row r="197" spans="1:9" x14ac:dyDescent="0.25">
      <c r="A197" s="3">
        <v>100</v>
      </c>
      <c r="B197" s="2">
        <v>0.6512</v>
      </c>
      <c r="C197" s="2">
        <v>2.2700000000000001E-2</v>
      </c>
      <c r="D197" s="2">
        <v>0.16270000000000001</v>
      </c>
      <c r="E197" s="2">
        <v>1.8499999999999999E-2</v>
      </c>
      <c r="F197" s="2">
        <v>0.16919999999999999</v>
      </c>
      <c r="G197" s="2">
        <v>1.7399999999999999E-2</v>
      </c>
      <c r="H197" s="2">
        <v>1.6899999999999998E-2</v>
      </c>
      <c r="I197" s="2">
        <v>5.1000000000000004E-3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0.95289999999999997</v>
      </c>
      <c r="C201" s="2" t="s">
        <v>11</v>
      </c>
      <c r="D201" s="2">
        <v>3.7100000000000001E-2</v>
      </c>
      <c r="E201" s="2" t="s">
        <v>11</v>
      </c>
      <c r="F201" s="2">
        <v>9.4999999999999998E-3</v>
      </c>
      <c r="G201" s="2" t="s">
        <v>11</v>
      </c>
      <c r="H201" s="2">
        <v>5.0000000000000001E-4</v>
      </c>
      <c r="I201" s="2" t="s">
        <v>11</v>
      </c>
    </row>
    <row r="202" spans="1:9" x14ac:dyDescent="0.25">
      <c r="A202" s="3">
        <v>2</v>
      </c>
      <c r="B202" s="2">
        <v>0.1484</v>
      </c>
      <c r="C202" s="2" t="s">
        <v>11</v>
      </c>
      <c r="D202" s="2">
        <v>0.80120000000000002</v>
      </c>
      <c r="E202" s="2" t="s">
        <v>11</v>
      </c>
      <c r="F202" s="2">
        <v>5.0200000000000002E-2</v>
      </c>
      <c r="G202" s="2" t="s">
        <v>11</v>
      </c>
      <c r="H202" s="2">
        <v>2.0000000000000001E-4</v>
      </c>
      <c r="I202" s="2" t="s">
        <v>11</v>
      </c>
    </row>
    <row r="203" spans="1:9" x14ac:dyDescent="0.25">
      <c r="A203" s="3">
        <v>3</v>
      </c>
      <c r="B203" s="2">
        <v>3.8800000000000001E-2</v>
      </c>
      <c r="C203" s="2" t="s">
        <v>11</v>
      </c>
      <c r="D203" s="2">
        <v>5.16E-2</v>
      </c>
      <c r="E203" s="2" t="s">
        <v>11</v>
      </c>
      <c r="F203" s="2">
        <v>0.90659999999999996</v>
      </c>
      <c r="G203" s="2" t="s">
        <v>11</v>
      </c>
      <c r="H203" s="2">
        <v>3.0000000000000001E-3</v>
      </c>
      <c r="I203" s="2" t="s">
        <v>11</v>
      </c>
    </row>
    <row r="204" spans="1:9" x14ac:dyDescent="0.25">
      <c r="A204" s="3">
        <v>4</v>
      </c>
      <c r="B204" s="2">
        <v>1.9400000000000001E-2</v>
      </c>
      <c r="C204" s="2" t="s">
        <v>11</v>
      </c>
      <c r="D204" s="2">
        <v>2E-3</v>
      </c>
      <c r="E204" s="2" t="s">
        <v>11</v>
      </c>
      <c r="F204" s="2">
        <v>2.9399999999999999E-2</v>
      </c>
      <c r="G204" s="2" t="s">
        <v>11</v>
      </c>
      <c r="H204" s="2">
        <v>0.94920000000000004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T278"/>
  <sheetViews>
    <sheetView tabSelected="1" zoomScale="55" zoomScaleNormal="55" workbookViewId="0">
      <selection activeCell="H8" sqref="H8"/>
    </sheetView>
  </sheetViews>
  <sheetFormatPr defaultRowHeight="15" x14ac:dyDescent="0.25"/>
  <cols>
    <col min="19" max="19" width="29.140625" bestFit="1" customWidth="1"/>
    <col min="22" max="22" width="11.5703125" bestFit="1" customWidth="1"/>
    <col min="23" max="23" width="10.5703125" bestFit="1" customWidth="1"/>
    <col min="24" max="24" width="11.5703125" bestFit="1" customWidth="1"/>
    <col min="25" max="25" width="10.5703125" bestFit="1" customWidth="1"/>
    <col min="99" max="99" width="17.5703125" customWidth="1"/>
    <col min="118" max="118" width="8.85546875" customWidth="1"/>
    <col min="176" max="176" width="55.5703125" bestFit="1" customWidth="1"/>
    <col min="190" max="190" width="12.85546875" customWidth="1"/>
  </cols>
  <sheetData>
    <row r="1" spans="1:202" x14ac:dyDescent="0.25">
      <c r="A1" t="s">
        <v>186</v>
      </c>
      <c r="B1">
        <v>152</v>
      </c>
      <c r="C1" t="s">
        <v>222</v>
      </c>
      <c r="K1" t="s">
        <v>258</v>
      </c>
      <c r="L1">
        <v>152</v>
      </c>
      <c r="M1" t="s">
        <v>261</v>
      </c>
      <c r="S1" t="s">
        <v>264</v>
      </c>
      <c r="V1">
        <v>160</v>
      </c>
      <c r="AO1" t="s">
        <v>207</v>
      </c>
      <c r="AP1">
        <v>152</v>
      </c>
      <c r="AQ1" t="s">
        <v>215</v>
      </c>
      <c r="AR1" s="13"/>
      <c r="AT1" s="6"/>
      <c r="AU1" s="6"/>
      <c r="AW1" t="s">
        <v>176</v>
      </c>
      <c r="AX1">
        <v>152</v>
      </c>
      <c r="AY1" t="s">
        <v>218</v>
      </c>
      <c r="BH1" t="s">
        <v>209</v>
      </c>
      <c r="BI1">
        <v>202</v>
      </c>
      <c r="BJ1" t="s">
        <v>214</v>
      </c>
      <c r="BZ1" t="s">
        <v>203</v>
      </c>
      <c r="CA1">
        <v>170</v>
      </c>
      <c r="CB1" t="s">
        <v>219</v>
      </c>
      <c r="CC1" s="13"/>
      <c r="CE1" s="6"/>
      <c r="CF1" t="s">
        <v>178</v>
      </c>
      <c r="CG1">
        <v>152</v>
      </c>
      <c r="CH1" t="s">
        <v>217</v>
      </c>
      <c r="CM1" s="6"/>
      <c r="CN1" t="s">
        <v>196</v>
      </c>
      <c r="CO1">
        <v>170</v>
      </c>
      <c r="CP1" t="s">
        <v>220</v>
      </c>
      <c r="CQ1" s="6"/>
      <c r="CR1" s="6"/>
      <c r="CU1" t="s">
        <v>190</v>
      </c>
      <c r="CV1">
        <v>153</v>
      </c>
      <c r="CW1" t="s">
        <v>221</v>
      </c>
      <c r="CX1" s="13"/>
      <c r="DI1" t="s">
        <v>180</v>
      </c>
      <c r="DJ1">
        <v>152</v>
      </c>
      <c r="DK1" t="s">
        <v>216</v>
      </c>
      <c r="DQ1" t="s">
        <v>182</v>
      </c>
      <c r="DR1">
        <v>153</v>
      </c>
      <c r="DS1" t="s">
        <v>223</v>
      </c>
      <c r="ED1" t="s">
        <v>230</v>
      </c>
      <c r="EE1">
        <v>167</v>
      </c>
      <c r="EF1" t="s">
        <v>212</v>
      </c>
      <c r="EK1" t="s">
        <v>231</v>
      </c>
      <c r="EL1">
        <v>152</v>
      </c>
      <c r="EM1" t="s">
        <v>213</v>
      </c>
      <c r="EV1" t="s">
        <v>211</v>
      </c>
      <c r="EW1">
        <v>170</v>
      </c>
      <c r="EY1" t="s">
        <v>224</v>
      </c>
      <c r="FN1" t="s">
        <v>241</v>
      </c>
      <c r="FO1">
        <v>152</v>
      </c>
      <c r="FP1" t="s">
        <v>242</v>
      </c>
      <c r="FT1" t="s">
        <v>235</v>
      </c>
      <c r="FU1">
        <v>154</v>
      </c>
      <c r="FV1" t="s">
        <v>243</v>
      </c>
      <c r="GH1" t="s">
        <v>260</v>
      </c>
      <c r="GI1">
        <v>152</v>
      </c>
      <c r="GP1" t="s">
        <v>234</v>
      </c>
      <c r="GQ1">
        <v>152</v>
      </c>
      <c r="GR1" t="s">
        <v>244</v>
      </c>
    </row>
    <row r="3" spans="1:202" x14ac:dyDescent="0.25">
      <c r="A3" s="6" t="s">
        <v>102</v>
      </c>
      <c r="B3" s="6" t="str">
        <f ca="1">INDIRECT(CONCATENATE("'",$A$1,"'!B")&amp;($B$1-2))</f>
        <v>Cluster1</v>
      </c>
      <c r="C3" s="6" t="str">
        <f ca="1">INDIRECT(CONCATENATE("'",$A$1,"'!E")&amp;($B$1-2))</f>
        <v>Cluster2</v>
      </c>
      <c r="D3" s="6" t="str">
        <f ca="1">INDIRECT(CONCATENATE("'",$A$1,"'!H")&amp;($B$1-2))</f>
        <v>Cluster3</v>
      </c>
      <c r="E3" s="6" t="str">
        <f ca="1">INDIRECT(CONCATENATE("'",$A$1,"'!K")&amp;($B$1-2))</f>
        <v>Cluster4</v>
      </c>
      <c r="F3" s="6" t="s">
        <v>106</v>
      </c>
      <c r="G3" s="6" t="s">
        <v>9</v>
      </c>
      <c r="K3" s="6" t="s">
        <v>102</v>
      </c>
      <c r="L3" s="6" t="str">
        <f ca="1">INDIRECT(CONCATENATE("'",$K$1,"'!B")&amp;($L$1-2))</f>
        <v>Cluster1</v>
      </c>
      <c r="M3" s="6" t="str">
        <f ca="1">INDIRECT(CONCATENATE("'",$K$1,"'!E")&amp;($L$1-2))</f>
        <v>Cluster2</v>
      </c>
      <c r="N3" s="6" t="str">
        <f ca="1">INDIRECT(CONCATENATE("'",$K$1,"'!H")&amp;($L$1-2))</f>
        <v>Cluster3</v>
      </c>
      <c r="O3" s="6" t="str">
        <f ca="1">INDIRECT(CONCATENATE("'",$K$1,"'!K")&amp;($L$1-2))</f>
        <v>Cluster4</v>
      </c>
      <c r="P3" s="6" t="s">
        <v>106</v>
      </c>
      <c r="Q3" s="6" t="s">
        <v>9</v>
      </c>
      <c r="S3" s="6" t="s">
        <v>102</v>
      </c>
      <c r="T3" s="6"/>
      <c r="U3" s="6" t="str">
        <f ca="1">INDIRECT(CONCATENATE("'",$S$1,"'!B")&amp;($V$1-2))</f>
        <v>Cluster1</v>
      </c>
      <c r="V3" s="6" t="str">
        <f ca="1">INDIRECT(CONCATENATE("'",$S$1,"'!E")&amp;($V$1-2))</f>
        <v>Cluster2</v>
      </c>
      <c r="W3" s="6" t="str">
        <f ca="1">INDIRECT(CONCATENATE("'",$S$1,"'!H")&amp;($V$1-2))</f>
        <v>Cluster3</v>
      </c>
      <c r="X3" s="6" t="str">
        <f ca="1">INDIRECT(CONCATENATE("'",$S$1,"'!K")&amp;($V$1-2))</f>
        <v>Cluster4</v>
      </c>
      <c r="Z3" s="6" t="s">
        <v>106</v>
      </c>
      <c r="AA3" s="6" t="s">
        <v>9</v>
      </c>
      <c r="AO3" s="6" t="s">
        <v>102</v>
      </c>
      <c r="AP3" s="6" t="str">
        <f ca="1">INDIRECT(CONCATENATE("'",$AO$1,"'!B")&amp;($AP$1-2))</f>
        <v>Cluster1</v>
      </c>
      <c r="AQ3" s="6" t="str">
        <f ca="1">INDIRECT(CONCATENATE("'",$AO$1,"'!E")&amp;($AP$1-2))</f>
        <v>Cluster2</v>
      </c>
      <c r="AR3" s="6" t="str">
        <f ca="1">INDIRECT(CONCATENATE("'",$AO$1,"'!H")&amp;($AP$1-2))</f>
        <v>Cluster3</v>
      </c>
      <c r="AS3" s="6" t="str">
        <f ca="1">INDIRECT(CONCATENATE("'",$AO$1,"'!K")&amp;($AP$1-2))</f>
        <v>Cluster4</v>
      </c>
      <c r="AW3" s="6" t="s">
        <v>102</v>
      </c>
      <c r="AX3" s="6" t="str">
        <f ca="1">INDIRECT(CONCATENATE("'",$AW$1,"'!B")&amp;($AX$1-2))</f>
        <v>Cluster1</v>
      </c>
      <c r="AY3" s="6" t="str">
        <f ca="1">INDIRECT(CONCATENATE("'",$AW$1,"'!E")&amp;($AX$1-2))</f>
        <v>Cluster2</v>
      </c>
      <c r="AZ3" s="6" t="str">
        <f ca="1">INDIRECT(CONCATENATE("'",$AW$1,"'!H")&amp;($AX$1-2))</f>
        <v>Cluster3</v>
      </c>
      <c r="BA3" s="6" t="str">
        <f ca="1">INDIRECT(CONCATENATE("'",$AW$1,"'!K")&amp;($AX$1-2))</f>
        <v>Cluster4</v>
      </c>
      <c r="BH3" s="6" t="s">
        <v>102</v>
      </c>
      <c r="BI3" s="6" t="str">
        <f ca="1">INDIRECT(CONCATENATE("'",$BH$1,"'!B")&amp;($BI$1-2))</f>
        <v>Cluster1</v>
      </c>
      <c r="BJ3" s="6" t="str">
        <f ca="1">INDIRECT(CONCATENATE("'",$BH$1,"'!E")&amp;($BI$1-2))</f>
        <v>Cluster2</v>
      </c>
      <c r="BK3" s="6" t="str">
        <f ca="1">INDIRECT(CONCATENATE("'",$BH$1,"'!H")&amp;($BI$1-2))</f>
        <v>Cluster3</v>
      </c>
      <c r="BL3" s="6" t="str">
        <f ca="1">INDIRECT(CONCATENATE("'",$BH$1,"'!K")&amp;($BI$1-2))</f>
        <v>Cluster4</v>
      </c>
      <c r="BZ3" s="6" t="s">
        <v>102</v>
      </c>
      <c r="CA3" s="6" t="str">
        <f ca="1">INDIRECT(CONCATENATE("'",$BZ$1,"'!B")&amp;($CA$1-2))</f>
        <v>Cluster1</v>
      </c>
      <c r="CB3" s="6" t="str">
        <f ca="1">INDIRECT(CONCATENATE("'",$BZ$1,"'!E")&amp;($CA$1-2))</f>
        <v>Cluster2</v>
      </c>
      <c r="CC3" s="6" t="str">
        <f ca="1">INDIRECT(CONCATENATE("'",$BZ$1,"'!H")&amp;($CA$1-2))</f>
        <v>Cluster3</v>
      </c>
      <c r="CD3" s="6" t="str">
        <f ca="1">INDIRECT(CONCATENATE("'",$BZ$1,"'!K")&amp;($CA$1-2))</f>
        <v>Cluster4</v>
      </c>
      <c r="CF3" s="6" t="s">
        <v>102</v>
      </c>
      <c r="CG3" s="6" t="str">
        <f ca="1">INDIRECT(CONCATENATE("'",$CF$1,"'!B")&amp;($CG$1-2))</f>
        <v>Cluster1</v>
      </c>
      <c r="CH3" s="6" t="str">
        <f ca="1">INDIRECT(CONCATENATE("'",$CF$1,"'!E")&amp;($CG$1-2))</f>
        <v>Cluster2</v>
      </c>
      <c r="CI3" s="6" t="str">
        <f ca="1">INDIRECT(CONCATENATE("'",$CF$1,"'!H")&amp;($CG$1-2))</f>
        <v>Cluster3</v>
      </c>
      <c r="CJ3" s="6" t="str">
        <f ca="1">INDIRECT(CONCATENATE("'",$CF$1,"'!K")&amp;($CG$1-2))</f>
        <v>Cluster4</v>
      </c>
      <c r="CN3" s="6" t="s">
        <v>102</v>
      </c>
      <c r="CO3" s="6" t="str">
        <f ca="1">INDIRECT(CONCATENATE("'",$CN$1,"'!B")&amp;($CO$1-2))</f>
        <v>Cluster1</v>
      </c>
      <c r="CP3" s="6" t="str">
        <f ca="1">INDIRECT(CONCATENATE("'",$CN$1,"'!E")&amp;($CO$1-2))</f>
        <v>Cluster2</v>
      </c>
      <c r="CQ3" s="6" t="str">
        <f ca="1">INDIRECT(CONCATENATE("'",$CN$1,"'!H")&amp;($CO$1-2))</f>
        <v>Cluster3</v>
      </c>
      <c r="CR3" s="6" t="str">
        <f ca="1">INDIRECT(CONCATENATE("'",$CN$1,"'!K")&amp;($CO$1-2))</f>
        <v>Cluster4</v>
      </c>
      <c r="CU3" s="6" t="s">
        <v>102</v>
      </c>
      <c r="CV3" s="6" t="str">
        <f ca="1">INDIRECT(CONCATENATE("'",$CU$1,"'!B")&amp;($CV$1-2))</f>
        <v>Cluster1</v>
      </c>
      <c r="CW3" s="6" t="str">
        <f ca="1">INDIRECT(CONCATENATE("'",$CU$1,"'!E")&amp;($CV$1-2))</f>
        <v>Cluster2</v>
      </c>
      <c r="CX3" s="6" t="str">
        <f ca="1">INDIRECT(CONCATENATE("'",$CU$1,"'!H")&amp;($CV$1-2))</f>
        <v>Cluster3</v>
      </c>
      <c r="CY3" s="6" t="str">
        <f ca="1">INDIRECT(CONCATENATE("'",$CU$1,"'!K")&amp;($CV$1-2))</f>
        <v>Cluster4</v>
      </c>
      <c r="DI3" s="6" t="s">
        <v>102</v>
      </c>
      <c r="DJ3" s="6" t="str">
        <f ca="1">INDIRECT(CONCATENATE("'",$DI$1,"'!B")&amp;($DJ$1-2))</f>
        <v>Cluster1</v>
      </c>
      <c r="DK3" s="6" t="str">
        <f ca="1">INDIRECT(CONCATENATE("'",$DI$1,"'!E")&amp;($DJ$1-2))</f>
        <v>Cluster2</v>
      </c>
      <c r="DL3" s="6" t="str">
        <f ca="1">INDIRECT(CONCATENATE("'",$DI$1,"'!H")&amp;($DJ$1-2))</f>
        <v>Cluster3</v>
      </c>
      <c r="DM3" s="6" t="str">
        <f ca="1">INDIRECT(CONCATENATE("'",$DI$1,"'!K")&amp;($DJ$1-2))</f>
        <v>Cluster4</v>
      </c>
      <c r="DQ3" s="6" t="s">
        <v>102</v>
      </c>
      <c r="DR3" s="6" t="str">
        <f ca="1">INDIRECT(CONCATENATE("'",$DQ$1,"'!B")&amp;($DR$1-2))</f>
        <v>Cluster1</v>
      </c>
      <c r="DS3" s="6" t="str">
        <f ca="1">INDIRECT(CONCATENATE("'",$DQ$1,"'!E")&amp;($DR$1-2))</f>
        <v>Cluster2</v>
      </c>
      <c r="DT3" s="6" t="str">
        <f ca="1">INDIRECT(CONCATENATE("'",$DQ$1,"'!H")&amp;($DR$1-2))</f>
        <v>Cluster3</v>
      </c>
      <c r="DU3" s="6" t="str">
        <f ca="1">INDIRECT(CONCATENATE("'",$DQ$1,"'!K")&amp;($DR$1-2))</f>
        <v>Cluster4</v>
      </c>
      <c r="ED3" s="6" t="s">
        <v>102</v>
      </c>
      <c r="EE3" s="6" t="str">
        <f ca="1">INDIRECT(CONCATENATE("'",$ED$1,"'!B")&amp;($EE$1-2))</f>
        <v>Cluster1</v>
      </c>
      <c r="EF3" s="6" t="str">
        <f ca="1">INDIRECT(CONCATENATE("'",$ED$1,"'!E")&amp;($EE$1-2))</f>
        <v>Cluster2</v>
      </c>
      <c r="EG3" s="6" t="str">
        <f ca="1">INDIRECT(CONCATENATE("'",$ED$1,"'!H")&amp;($EE$1-2))</f>
        <v>Cluster3</v>
      </c>
      <c r="EH3" s="6" t="str">
        <f ca="1">INDIRECT(CONCATENATE("'",$ED$1,"'!K")&amp;($EE$1-2))</f>
        <v>Cluster4</v>
      </c>
      <c r="EK3" s="6" t="s">
        <v>102</v>
      </c>
      <c r="EL3" s="6" t="str">
        <f ca="1">INDIRECT(CONCATENATE("'",$EK$1,"'!B")&amp;($EL$1-2))</f>
        <v>Cluster1</v>
      </c>
      <c r="EM3" s="6" t="str">
        <f ca="1">INDIRECT(CONCATENATE("'",$EK$1,"'!E")&amp;($EL$1-2))</f>
        <v>Cluster2</v>
      </c>
      <c r="EN3" s="6" t="str">
        <f ca="1">INDIRECT(CONCATENATE("'",$EK$1,"'!H")&amp;($EL$1-2))</f>
        <v>Cluster3</v>
      </c>
      <c r="EO3" s="6" t="str">
        <f ca="1">INDIRECT(CONCATENATE("'",$EK$1,"'!K")&amp;($EL$1-2))</f>
        <v>Cluster4</v>
      </c>
      <c r="EV3" s="6" t="s">
        <v>102</v>
      </c>
      <c r="EW3" s="6" t="s">
        <v>42</v>
      </c>
      <c r="EX3" s="6"/>
      <c r="EY3" s="6" t="s">
        <v>43</v>
      </c>
      <c r="EZ3" s="6"/>
      <c r="FA3" s="6" t="s">
        <v>44</v>
      </c>
      <c r="FB3" s="6"/>
      <c r="FC3" s="6" t="s">
        <v>45</v>
      </c>
      <c r="FD3" s="6"/>
      <c r="FE3" s="6" t="s">
        <v>294</v>
      </c>
      <c r="FF3" s="6" t="s">
        <v>9</v>
      </c>
      <c r="FN3" s="6" t="s">
        <v>102</v>
      </c>
      <c r="FO3" s="6" t="str">
        <f ca="1">INDIRECT(CONCATENATE("'",$FN$1,"'!B")&amp;($FO$1-2))</f>
        <v>Cluster1</v>
      </c>
      <c r="FP3" s="6" t="str">
        <f ca="1">INDIRECT(CONCATENATE("'",$FN$1,"'!E")&amp;($FO$1-2))</f>
        <v>Cluster2</v>
      </c>
      <c r="FQ3" s="6" t="str">
        <f ca="1">INDIRECT(CONCATENATE("'",$FN$1,"'!H")&amp;($FO$1-2))</f>
        <v>Cluster3</v>
      </c>
      <c r="FR3" s="6" t="str">
        <f ca="1">INDIRECT(CONCATENATE("'",$FN$1,"'!K")&amp;($FO$1-2))</f>
        <v>Cluster4</v>
      </c>
      <c r="FT3" s="6" t="s">
        <v>102</v>
      </c>
      <c r="FU3" s="6" t="str">
        <f ca="1">INDIRECT(CONCATENATE("'",$FT$1,"'!B")&amp;($FU$1-2))</f>
        <v>Cluster1</v>
      </c>
      <c r="FV3" s="6" t="str">
        <f ca="1">INDIRECT(CONCATENATE("'",$FT$1,"'!E")&amp;($FU$1-2))</f>
        <v>Cluster2</v>
      </c>
      <c r="FW3" s="6" t="str">
        <f ca="1">INDIRECT(CONCATENATE("'",$FT$1,"'!H")&amp;($FU$1-2))</f>
        <v>Cluster3</v>
      </c>
      <c r="FX3" s="6" t="str">
        <f ca="1">INDIRECT(CONCATENATE("'",$FT$1,"'!K")&amp;($FU$1-2))</f>
        <v>Cluster4</v>
      </c>
      <c r="GH3" s="6" t="s">
        <v>102</v>
      </c>
      <c r="GI3" s="6" t="str">
        <f ca="1">INDIRECT(CONCATENATE("'",$GH$1,"'!B")&amp;($GI$1-2))</f>
        <v>Cluster1</v>
      </c>
      <c r="GJ3" s="6" t="str">
        <f ca="1">INDIRECT(CONCATENATE("'",$GH$1,"'!E")&amp;($GI$1-2))</f>
        <v>Cluster2</v>
      </c>
      <c r="GK3" s="6" t="str">
        <f ca="1">INDIRECT(CONCATENATE("'",$GH$1,"'!H")&amp;($GI$1-2))</f>
        <v>Cluster3</v>
      </c>
      <c r="GL3" s="6" t="str">
        <f ca="1">INDIRECT(CONCATENATE("'",$GH$1,"'!K")&amp;($GI$1-2))</f>
        <v>Cluster4</v>
      </c>
      <c r="GM3" s="6" t="s">
        <v>106</v>
      </c>
      <c r="GN3" s="6" t="s">
        <v>9</v>
      </c>
      <c r="GO3" s="6"/>
      <c r="GP3" s="6" t="s">
        <v>102</v>
      </c>
      <c r="GQ3" s="6" t="str">
        <f ca="1">INDIRECT(CONCATENATE("'",$GP$1,"'!B")&amp;($GQ$1-2))</f>
        <v>Cluster1</v>
      </c>
      <c r="GR3" s="6" t="str">
        <f ca="1">INDIRECT(CONCATENATE("'",$GP$1,"'!E")&amp;($GQ$1-2))</f>
        <v>Cluster2</v>
      </c>
      <c r="GS3" s="6" t="str">
        <f ca="1">INDIRECT(CONCATENATE("'",$GP$1,"'!H")&amp;($GQ$1-2))</f>
        <v>Cluster3</v>
      </c>
      <c r="GT3" s="6" t="str">
        <f ca="1">INDIRECT(CONCATENATE("'",$GP$1,"'!K")&amp;($GQ$1-2))</f>
        <v>Cluster4</v>
      </c>
    </row>
    <row r="4" spans="1:202" x14ac:dyDescent="0.25">
      <c r="A4" s="6" t="str">
        <f ca="1">INDIRECT(CONCATENATE("'",$A$1,"'!A")&amp;($B$1))</f>
        <v>Yes</v>
      </c>
      <c r="B4">
        <f ca="1">INDIRECT(CONCATENATE("'",$A$1,"'!B")&amp;($B$1))</f>
        <v>-0.1371</v>
      </c>
      <c r="C4">
        <f ca="1">INDIRECT(CONCATENATE("'",$A$1,"'!E")&amp;($B$1))</f>
        <v>7.8100000000000003E-2</v>
      </c>
      <c r="D4">
        <f ca="1">INDIRECT(CONCATENATE("'",$A$1,"'!H")&amp;($B$1))</f>
        <v>-2.3900000000000001E-2</v>
      </c>
      <c r="E4">
        <f ca="1">INDIRECT(CONCATENATE("'",$A$1,"'!K")&amp;($B$1))</f>
        <v>8.2900000000000001E-2</v>
      </c>
      <c r="F4">
        <f ca="1">INDIRECT(CONCATENATE("'",$A$1,"'!N")&amp;($B$1))</f>
        <v>4.2283999999999997</v>
      </c>
      <c r="G4">
        <f ca="1">INDIRECT(CONCATENATE("'",$A$1,"'!O")&amp;($B$1))</f>
        <v>0.24</v>
      </c>
      <c r="K4" s="6" t="str">
        <f ca="1">INDIRECT(CONCATENATE("'",$K$1,"'!A")&amp;($L$1))</f>
        <v>Yes</v>
      </c>
      <c r="L4">
        <f ca="1">INDIRECT(CONCATENATE("'",$K$1,"'!B")&amp;($L$1))</f>
        <v>-0.1424</v>
      </c>
      <c r="M4">
        <f ca="1">INDIRECT(CONCATENATE("'",$K$1,"'!E")&amp;($L$1))</f>
        <v>7.1999999999999998E-3</v>
      </c>
      <c r="N4">
        <f ca="1">INDIRECT(CONCATENATE("'",$K$1,"'!H")&amp;($L$1))</f>
        <v>-5.33E-2</v>
      </c>
      <c r="O4">
        <f ca="1">INDIRECT(CONCATENATE("'",$K$1,"'!K")&amp;($L$1))</f>
        <v>0.18840000000000001</v>
      </c>
      <c r="P4">
        <f ca="1">INDIRECT(CONCATENATE("'",$K$1,"'!N")&amp;($L$1))</f>
        <v>3.0007999999999999</v>
      </c>
      <c r="Q4">
        <f ca="1">INDIRECT(CONCATENATE("'",$K$1,"'!O")&amp;($L$1))</f>
        <v>0.39</v>
      </c>
      <c r="S4" s="6">
        <f ca="1">INDIRECT(CONCATENATE("'",$S$1,"'!A")&amp;($V$1+T4))</f>
        <v>45</v>
      </c>
      <c r="T4" s="6">
        <v>0</v>
      </c>
      <c r="U4">
        <f ca="1">INDIRECT(CONCATENATE("'",$S$1,"'!B")&amp;($V$1+T4))</f>
        <v>-8.5870999999999995</v>
      </c>
      <c r="V4">
        <f ca="1">INDIRECT(CONCATENATE("'",$S$1,"'!E")&amp;($V$1+T4))</f>
        <v>-8.5524000000000004</v>
      </c>
      <c r="W4">
        <f ca="1">INDIRECT(CONCATENATE("'",$S$1,"'!H")&amp;($V$1+T4))</f>
        <v>-7.4908999999999999</v>
      </c>
      <c r="X4">
        <f ca="1">INDIRECT(CONCATENATE("'",$S$1,"'!K")&amp;($V$1+T4))</f>
        <v>24.630500000000001</v>
      </c>
      <c r="Y4" t="s">
        <v>118</v>
      </c>
      <c r="Z4">
        <f ca="1">INDIRECT(CONCATENATE("'",$S$1,"'!N")&amp;($V$1+T4))</f>
        <v>308450405853.59998</v>
      </c>
      <c r="AA4" s="26">
        <f ca="1">INDIRECT(CONCATENATE("'",$S$1,"'!O")&amp;($V$1+T4))</f>
        <v>0</v>
      </c>
      <c r="AO4" s="6">
        <f ca="1">INDIRECT(CONCATENATE("'",$AO$1,"'!A")&amp;($AP$1))</f>
        <v>0</v>
      </c>
      <c r="AP4">
        <f ca="1">INDIRECT(CONCATENATE("'",$AO$1,"'!B")&amp;($AP$1))</f>
        <v>0.2447</v>
      </c>
      <c r="AQ4">
        <f ca="1">INDIRECT(CONCATENATE("'",$AO$1,"'!E")&amp;($AP$1))</f>
        <v>-4.1700000000000001E-2</v>
      </c>
      <c r="AR4">
        <f ca="1">INDIRECT(CONCATENATE("'",$AO$1,"'!H")&amp;($AP$1))</f>
        <v>-0.1764</v>
      </c>
      <c r="AS4">
        <f ca="1">INDIRECT(CONCATENATE("'",$AO$1,"'!K")&amp;($AP$1))</f>
        <v>-2.6599999999999999E-2</v>
      </c>
      <c r="AW4" s="6">
        <f ca="1">INDIRECT(CONCATENATE("'",$AW$1,"'!A")&amp;($AX$1))</f>
        <v>0</v>
      </c>
      <c r="AX4">
        <f ca="1">INDIRECT(CONCATENATE("'",$AW$1,"'!B")&amp;($AX$1))</f>
        <v>0.3528</v>
      </c>
      <c r="AY4">
        <f ca="1">INDIRECT(CONCATENATE("'",$AW$1,"'!E")&amp;($AX$1))</f>
        <v>-5.0299999999999997E-2</v>
      </c>
      <c r="AZ4">
        <f ca="1">INDIRECT(CONCATENATE("'",$AW$1,"'!H")&amp;($AX$1))</f>
        <v>9.5899999999999999E-2</v>
      </c>
      <c r="BA4">
        <f ca="1">INDIRECT(CONCATENATE("'",$AW$1,"'!K")&amp;($AX$1))</f>
        <v>-0.39829999999999999</v>
      </c>
      <c r="BH4" s="6" t="str">
        <f>BH1</f>
        <v>b2a</v>
      </c>
      <c r="BI4">
        <f ca="1">INDIRECT(CONCATENATE("'",$BH$1,"'!B")&amp;($BI$1))</f>
        <v>8.5000000000000006E-3</v>
      </c>
      <c r="BJ4">
        <f ca="1">INDIRECT(CONCATENATE("'",$BH$1,"'!E")&amp;($BI$1))</f>
        <v>3.7000000000000002E-3</v>
      </c>
      <c r="BK4">
        <f ca="1">INDIRECT(CONCATENATE("'",$BH$1,"'!H")&amp;($BI$1))</f>
        <v>-2E-3</v>
      </c>
      <c r="BL4">
        <f ca="1">INDIRECT(CONCATENATE("'",$BH$1,"'!K")&amp;($BI$1))</f>
        <v>-1.0200000000000001E-2</v>
      </c>
      <c r="BZ4" s="6" t="str">
        <f>BZ1</f>
        <v>b4a</v>
      </c>
      <c r="CA4">
        <f ca="1">INDIRECT(CONCATENATE("'",$BZ$1,"'!B")&amp;($CA$1))</f>
        <v>2.8E-3</v>
      </c>
      <c r="CB4">
        <f ca="1">INDIRECT(CONCATENATE("'",$BZ$1,"'!E")&amp;($CA$1))</f>
        <v>-2.0000000000000001E-4</v>
      </c>
      <c r="CC4">
        <f ca="1">INDIRECT(CONCATENATE("'",$BZ$1,"'!H")&amp;($CA$1))</f>
        <v>1.2999999999999999E-3</v>
      </c>
      <c r="CD4">
        <f ca="1">INDIRECT(CONCATENATE("'",$BZ$1,"'!K")&amp;($CA$1))</f>
        <v>-4.0000000000000001E-3</v>
      </c>
      <c r="CF4" s="6">
        <f ca="1">INDIRECT(CONCATENATE("'",$CF$1,"'!A")&amp;($CG$1))</f>
        <v>0</v>
      </c>
      <c r="CG4">
        <f ca="1">INDIRECT(CONCATENATE("'",$CF$1,"'!B")&amp;($CG$1))</f>
        <v>-0.1163</v>
      </c>
      <c r="CH4">
        <f ca="1">INDIRECT(CONCATENATE("'",$CF$1,"'!E")&amp;($CG$1))</f>
        <v>5.8999999999999997E-2</v>
      </c>
      <c r="CI4">
        <f ca="1">INDIRECT(CONCATENATE("'",$CF$1,"'!H")&amp;($CG$1))</f>
        <v>6.1499999999999999E-2</v>
      </c>
      <c r="CJ4">
        <f ca="1">INDIRECT(CONCATENATE("'",$CF$1,"'!K")&amp;($CG$1))</f>
        <v>-4.3E-3</v>
      </c>
      <c r="CN4" s="6" t="str">
        <f>CN1</f>
        <v>b7</v>
      </c>
      <c r="CO4">
        <f ca="1">INDIRECT(CONCATENATE("'",$CN$1,"'!B")&amp;($CO$1))</f>
        <v>2.2000000000000001E-3</v>
      </c>
      <c r="CP4">
        <f ca="1">INDIRECT(CONCATENATE("'",$CN$1,"'!E")&amp;($CO$1))</f>
        <v>-9.4000000000000004E-3</v>
      </c>
      <c r="CQ4">
        <f ca="1">INDIRECT(CONCATENATE("'",$CN$1,"'!H")&amp;($CO$1))</f>
        <v>-3.8E-3</v>
      </c>
      <c r="CR4">
        <f ca="1">INDIRECT(CONCATENATE("'",$CN$1,"'!K")&amp;($CO$1))</f>
        <v>1.0999999999999999E-2</v>
      </c>
      <c r="CU4" s="6" t="str">
        <f ca="1">INDIRECT(CONCATENATE("'",$CU$1,"'!A")&amp;($CV$1))</f>
        <v>Local â€“ main product sold mostly in same municipality wher</v>
      </c>
      <c r="CV4">
        <f ca="1">INDIRECT(CONCATENATE("'",$CU$1,"'!B")&amp;($CV$1))</f>
        <v>-0.33879999999999999</v>
      </c>
      <c r="CW4">
        <f ca="1">INDIRECT(CONCATENATE("'",$CU$1,"'!E")&amp;($CV$1))</f>
        <v>-0.3952</v>
      </c>
      <c r="CX4">
        <f ca="1">INDIRECT(CONCATENATE("'",$CU$1,"'!H")&amp;($CV$1))</f>
        <v>-0.2011</v>
      </c>
      <c r="CY4">
        <f ca="1">INDIRECT(CONCATENATE("'",$CU$1,"'!K")&amp;($CV$1))</f>
        <v>0.93510000000000004</v>
      </c>
      <c r="CZ4" t="s">
        <v>118</v>
      </c>
      <c r="DI4" s="6">
        <f ca="1">INDIRECT(CONCATENATE("'",$DI$1,"'!A")&amp;($DJ$1))</f>
        <v>0</v>
      </c>
      <c r="DJ4">
        <f ca="1">INDIRECT(CONCATENATE("'",$DI$1,"'!B")&amp;($DJ$1))</f>
        <v>3.5099999999999999E-2</v>
      </c>
      <c r="DK4">
        <f ca="1">INDIRECT(CONCATENATE("'",$DI$1,"'!E")&amp;($DJ$1))</f>
        <v>3.7499999999999999E-2</v>
      </c>
      <c r="DL4">
        <f ca="1">INDIRECT(CONCATENATE("'",$DI$1,"'!H")&amp;($DJ$1))</f>
        <v>-5.9400000000000001E-2</v>
      </c>
      <c r="DM4">
        <f ca="1">INDIRECT(CONCATENATE("'",$DI$1,"'!K")&amp;($DJ$1))</f>
        <v>-1.32E-2</v>
      </c>
      <c r="DQ4" s="6" t="str">
        <f ca="1">INDIRECT(CONCATENATE("'",$DQ$1,"'!A")&amp;($DR$1))</f>
        <v>Manufacturing</v>
      </c>
      <c r="DR4">
        <f ca="1">INDIRECT(CONCATENATE("'",$DQ$1,"'!B")&amp;($DR$1))</f>
        <v>6.2799999999999995E-2</v>
      </c>
      <c r="DS4">
        <f ca="1">INDIRECT(CONCATENATE("'",$DQ$1,"'!E")&amp;($DR$1))</f>
        <v>9.5299999999999996E-2</v>
      </c>
      <c r="DT4">
        <f ca="1">INDIRECT(CONCATENATE("'",$DQ$1,"'!H")&amp;($DR$1))</f>
        <v>-8.2299999999999998E-2</v>
      </c>
      <c r="DU4">
        <f ca="1">INDIRECT(CONCATENATE("'",$DQ$1,"'!K")&amp;($DR$1))</f>
        <v>-7.5800000000000006E-2</v>
      </c>
      <c r="ED4" s="6" t="str">
        <f>ED1</f>
        <v>graft2 exp</v>
      </c>
      <c r="EE4">
        <f ca="1">INDIRECT(CONCATENATE("'",$ED$1,"'!B")&amp;($EE$1))</f>
        <v>-8.0000000000000004E-4</v>
      </c>
      <c r="EF4">
        <f ca="1">INDIRECT(CONCATENATE("'",$ED$1,"'!E")&amp;($EE$1))</f>
        <v>-3.5999999999999999E-3</v>
      </c>
      <c r="EG4">
        <f ca="1">INDIRECT(CONCATENATE("'",$ED$1,"'!H")&amp;($EE$1))</f>
        <v>-2.7000000000000001E-3</v>
      </c>
      <c r="EH4">
        <f ca="1">INDIRECT(CONCATENATE("'",$ED$1,"'!K")&amp;($EE$1))</f>
        <v>7.1000000000000004E-3</v>
      </c>
      <c r="EK4" s="6">
        <f ca="1">INDIRECT(CONCATENATE("'",$EK$1,"'!A")&amp;($EL$1))</f>
        <v>0</v>
      </c>
      <c r="EL4">
        <f ca="1">INDIRECT(CONCATENATE("'",$EK$1,"'!B")&amp;($EL$1))</f>
        <v>0.1668</v>
      </c>
      <c r="EM4">
        <f ca="1">INDIRECT(CONCATENATE("'",$EK$1,"'!E")&amp;($EL$1))</f>
        <v>0.17169999999999999</v>
      </c>
      <c r="EN4">
        <f ca="1">INDIRECT(CONCATENATE("'",$EK$1,"'!H")&amp;($EL$1))</f>
        <v>1.5299999999999999E-2</v>
      </c>
      <c r="EO4">
        <f ca="1">INDIRECT(CONCATENATE("'",$EK$1,"'!K")&amp;($EL$1))</f>
        <v>-0.3538</v>
      </c>
      <c r="EV4" s="6" t="s">
        <v>211</v>
      </c>
      <c r="EW4">
        <f ca="1">INDIRECT(CONCATENATE("'",$EV$1,"'!B")&amp;($EW$1))</f>
        <v>-0.25209999999999999</v>
      </c>
      <c r="EY4">
        <f ca="1">INDIRECT(CONCATENATE("'",$EV$1,"'!E")&amp;($EW$1))</f>
        <v>0.80779999999999996</v>
      </c>
      <c r="FA4">
        <f ca="1">INDIRECT(CONCATENATE("'",$EV$1,"'!H")&amp;($EW$1))</f>
        <v>0.94269999999999998</v>
      </c>
      <c r="FC4">
        <f ca="1">INDIRECT(CONCATENATE("'",$EV$1,"'!K")&amp;($EW$1))</f>
        <v>-1.4984999999999999</v>
      </c>
      <c r="FE4">
        <f ca="1">INDIRECT(CONCATENATE("'",$EV$1,"'!N")&amp;($EW$1))</f>
        <v>6.8201999999999998</v>
      </c>
      <c r="FF4">
        <f ca="1">INDIRECT(CONCATENATE("'",$EV$1,"'!O")&amp;($EW$1))</f>
        <v>7.8E-2</v>
      </c>
      <c r="FN4" s="6" t="str">
        <f ca="1">INDIRECT(CONCATENATE("'",$FN$1,"'!A")&amp;($FO$1))</f>
        <v>Yes</v>
      </c>
      <c r="FO4">
        <f ca="1">INDIRECT(CONCATENATE("'",$FN$1,"'!B")&amp;($FO$1))</f>
        <v>-0.1101</v>
      </c>
      <c r="FP4">
        <f ca="1">INDIRECT(CONCATENATE("'",$FN$1,"'!E")&amp;($FO$1))</f>
        <v>3.1300000000000001E-2</v>
      </c>
      <c r="FQ4">
        <f ca="1">INDIRECT(CONCATENATE("'",$FN$1,"'!H")&amp;($FO$1))</f>
        <v>-1.83E-2</v>
      </c>
      <c r="FR4">
        <f ca="1">INDIRECT(CONCATENATE("'",$FN$1,"'!K")&amp;($FO$1))</f>
        <v>9.7000000000000003E-2</v>
      </c>
      <c r="FT4" s="6" t="str">
        <f ca="1">INDIRECT(CONCATENATE("'",$FT$1,"'!A")&amp;($FU$1))</f>
        <v>Shareholding company with shares trade in the stock market</v>
      </c>
      <c r="FU4">
        <f ca="1">INDIRECT(CONCATENATE("'",$FT$1,"'!B")&amp;($FU$1))</f>
        <v>-9.7000000000000003E-2</v>
      </c>
      <c r="FV4">
        <f ca="1">INDIRECT(CONCATENATE("'",$FT$1,"'!E")&amp;($FU$1))</f>
        <v>-0.60050000000000003</v>
      </c>
      <c r="FW4">
        <f ca="1">INDIRECT(CONCATENATE("'",$FT$1,"'!H")&amp;($FU$1))</f>
        <v>-4.1300000000000003E-2</v>
      </c>
      <c r="FX4">
        <f ca="1">INDIRECT(CONCATENATE("'",$FT$1,"'!K")&amp;($FU$1))</f>
        <v>0.7389</v>
      </c>
      <c r="GH4" s="6" t="str">
        <f ca="1">INDIRECT(CONCATENATE("'",$GH$1,"'!A")&amp;($GI$1))</f>
        <v>Yes</v>
      </c>
      <c r="GI4">
        <f ca="1">INDIRECT(CONCATENATE("'",$GH$1,"'!B")&amp;($GI$1))</f>
        <v>-3.9899999999999998E-2</v>
      </c>
      <c r="GJ4">
        <f ca="1">INDIRECT(CONCATENATE("'",$GH$1,"'!E")&amp;($GI$1))</f>
        <v>5.3199999999999997E-2</v>
      </c>
      <c r="GK4">
        <f ca="1">INDIRECT(CONCATENATE("'",$GH$1,"'!H")&amp;($GI$1))</f>
        <v>5.0799999999999998E-2</v>
      </c>
      <c r="GL4">
        <f ca="1">INDIRECT(CONCATENATE("'",$GH$1,"'!K")&amp;($GI$1))</f>
        <v>-6.4199999999999993E-2</v>
      </c>
      <c r="GM4">
        <f ca="1">INDIRECT(CONCATENATE("'",$GH$1,"'!N")&amp;($GI$1))</f>
        <v>1.1901999999999999</v>
      </c>
      <c r="GN4">
        <f ca="1">INDIRECT(CONCATENATE("'",$GH$1,"'!O")&amp;($GI$1))</f>
        <v>0.76</v>
      </c>
      <c r="GP4" s="6">
        <f ca="1">INDIRECT(CONCATENATE("'",$GP$1,"'!A")&amp;($GQ$1))</f>
        <v>0</v>
      </c>
      <c r="GQ4">
        <f ca="1">INDIRECT(CONCATENATE("'",$GP$1,"'!B")&amp;($GQ$1))</f>
        <v>-0.1741</v>
      </c>
      <c r="GR4">
        <f ca="1">INDIRECT(CONCATENATE("'",$GP$1,"'!E")&amp;($GQ$1))</f>
        <v>-0.2631</v>
      </c>
      <c r="GS4">
        <f ca="1">INDIRECT(CONCATENATE("'",$GP$1,"'!H")&amp;($GQ$1))</f>
        <v>0.16789999999999999</v>
      </c>
      <c r="GT4">
        <f ca="1">INDIRECT(CONCATENATE("'",$GP$1,"'!K")&amp;($GQ$1))</f>
        <v>0.26919999999999999</v>
      </c>
    </row>
    <row r="5" spans="1:202" x14ac:dyDescent="0.25">
      <c r="A5" s="6"/>
      <c r="B5">
        <f ca="1">INDIRECT(CONCATENATE("'",$A$1,"'!D")&amp;($B$1))</f>
        <v>-1.6251</v>
      </c>
      <c r="C5">
        <f ca="1">INDIRECT(CONCATENATE("'",$A$1,"'!G")&amp;($B$1))</f>
        <v>0.72509999999999997</v>
      </c>
      <c r="D5">
        <f ca="1">INDIRECT(CONCATENATE("'",$A$1,"'!J")&amp;($B$1))</f>
        <v>-0.22889999999999999</v>
      </c>
      <c r="E5">
        <f ca="1">INDIRECT(CONCATENATE("'",$A$1,"'!M")&amp;($B$1))</f>
        <v>0.4042</v>
      </c>
      <c r="K5" s="6"/>
      <c r="L5">
        <f ca="1">INDIRECT(CONCATENATE("'",$K$1,"'!D")&amp;($L$1))</f>
        <v>-1.6641999999999999</v>
      </c>
      <c r="M5">
        <f ca="1">INDIRECT(CONCATENATE("'",$K$1,"'!G")&amp;($L$1))</f>
        <v>6.54E-2</v>
      </c>
      <c r="N5">
        <f ca="1">INDIRECT(CONCATENATE("'",$K$1,"'!J")&amp;($L$1))</f>
        <v>-0.49859999999999999</v>
      </c>
      <c r="O5">
        <f ca="1">INDIRECT(CONCATENATE("'",$K$1,"'!M")&amp;($L$1))</f>
        <v>0.91569999999999996</v>
      </c>
      <c r="S5" s="6"/>
      <c r="T5" s="6"/>
      <c r="U5">
        <f ca="1">INDIRECT(CONCATENATE("'",$S$1,"'!D")&amp;($V$1+T4))</f>
        <v>-29.202000000000002</v>
      </c>
      <c r="V5">
        <f ca="1">INDIRECT(CONCATENATE("'",$S$1,"'!G")&amp;($V$1+T4))</f>
        <v>-22.656500000000001</v>
      </c>
      <c r="W5">
        <f ca="1">INDIRECT(CONCATENATE("'",$S$1,"'!J")&amp;($V$1+T4))</f>
        <v>-23.746700000000001</v>
      </c>
      <c r="X5">
        <f ca="1">INDIRECT(CONCATENATE("'",$S$1,"'!M")&amp;($V$1+T4))</f>
        <v>38.900700000000001</v>
      </c>
      <c r="Y5" t="s">
        <v>124</v>
      </c>
      <c r="AO5" s="6"/>
      <c r="AP5">
        <f ca="1">INDIRECT(CONCATENATE("'",$AO$1,"'!D")&amp;($AP$1))</f>
        <v>2.0598000000000001</v>
      </c>
      <c r="AQ5">
        <f ca="1">INDIRECT(CONCATENATE("'",$AO$1,"'!G")&amp;($AP$1))</f>
        <v>-0.22359999999999999</v>
      </c>
      <c r="AR5">
        <f ca="1">INDIRECT(CONCATENATE("'",$AO$1,"'!J")&amp;($AP$1))</f>
        <v>-1.2637</v>
      </c>
      <c r="AS5">
        <f ca="1">INDIRECT(CONCATENATE("'",$AO$1,"'!M")&amp;($AP$1))</f>
        <v>-0.1246</v>
      </c>
      <c r="AW5" s="6"/>
      <c r="AX5">
        <f ca="1">INDIRECT(CONCATENATE("'",$AW$1,"'!D")&amp;($AX$1))</f>
        <v>2.6110000000000002</v>
      </c>
      <c r="AY5">
        <f ca="1">INDIRECT(CONCATENATE("'",$AW$1,"'!G")&amp;($AX$1))</f>
        <v>-0.27379999999999999</v>
      </c>
      <c r="AZ5">
        <f ca="1">INDIRECT(CONCATENATE("'",$AW$1,"'!J")&amp;($AX$1))</f>
        <v>0.55879999999999996</v>
      </c>
      <c r="BA5">
        <f ca="1">INDIRECT(CONCATENATE("'",$AW$1,"'!M")&amp;($AX$1))</f>
        <v>-1.6157999999999999</v>
      </c>
      <c r="BH5" s="6"/>
      <c r="BI5">
        <f ca="1">INDIRECT(CONCATENATE("'",$BH$1,"'!D")&amp;($BI$1))</f>
        <v>2.9156</v>
      </c>
      <c r="BJ5">
        <f ca="1">INDIRECT(CONCATENATE("'",$BH$1,"'!G")&amp;($BI$1))</f>
        <v>0.92830000000000001</v>
      </c>
      <c r="BK5">
        <f ca="1">INDIRECT(CONCATENATE("'",$BH$1,"'!J")&amp;($BI$1))</f>
        <v>-0.61309999999999998</v>
      </c>
      <c r="BL5">
        <f ca="1">INDIRECT(CONCATENATE("'",$BH$1,"'!M")&amp;($BI$1))</f>
        <v>-1.6987000000000001</v>
      </c>
      <c r="BZ5" s="6"/>
      <c r="CA5">
        <f ca="1">INDIRECT(CONCATENATE("'",$BZ$1,"'!D")&amp;($CA$1))</f>
        <v>0.85760000000000003</v>
      </c>
      <c r="CB5">
        <f ca="1">INDIRECT(CONCATENATE("'",$BZ$1,"'!G")&amp;($CA$1))</f>
        <v>-4.3400000000000001E-2</v>
      </c>
      <c r="CC5">
        <f ca="1">INDIRECT(CONCATENATE("'",$BZ$1,"'!J")&amp;($CA$1))</f>
        <v>0.36349999999999999</v>
      </c>
      <c r="CD5">
        <f ca="1">INDIRECT(CONCATENATE("'",$BZ$1,"'!M")&amp;($CA$1))</f>
        <v>-0.4587</v>
      </c>
      <c r="CF5" s="6"/>
      <c r="CG5">
        <f ca="1">INDIRECT(CONCATENATE("'",$CF$1,"'!D")&amp;($CG$1))</f>
        <v>-0.85799999999999998</v>
      </c>
      <c r="CH5">
        <f ca="1">INDIRECT(CONCATENATE("'",$CF$1,"'!G")&amp;($CG$1))</f>
        <v>0.32019999999999998</v>
      </c>
      <c r="CI5">
        <f ca="1">INDIRECT(CONCATENATE("'",$CF$1,"'!J")&amp;($CG$1))</f>
        <v>0.38469999999999999</v>
      </c>
      <c r="CJ5">
        <f ca="1">INDIRECT(CONCATENATE("'",$CF$1,"'!M")&amp;($CG$1))</f>
        <v>-1.23E-2</v>
      </c>
      <c r="CN5" s="6"/>
      <c r="CO5">
        <f ca="1">INDIRECT(CONCATENATE("'",$CN$1,"'!D")&amp;($CO$1))</f>
        <v>0.39550000000000002</v>
      </c>
      <c r="CP5">
        <f ca="1">INDIRECT(CONCATENATE("'",$CN$1,"'!G")&amp;($CO$1))</f>
        <v>-1.2857000000000001</v>
      </c>
      <c r="CQ5">
        <f ca="1">INDIRECT(CONCATENATE("'",$CN$1,"'!J")&amp;($CO$1))</f>
        <v>-0.48080000000000001</v>
      </c>
      <c r="CR5">
        <f ca="1">INDIRECT(CONCATENATE("'",$CN$1,"'!M")&amp;($CO$1))</f>
        <v>0.90010000000000001</v>
      </c>
      <c r="CU5" s="6"/>
      <c r="CV5">
        <f ca="1">INDIRECT(CONCATENATE("'",$CU$1,"'!D")&amp;($CV$1))</f>
        <v>-1.7311000000000001</v>
      </c>
      <c r="CW5">
        <f ca="1">INDIRECT(CONCATENATE("'",$CU$1,"'!G")&amp;($CV$1))</f>
        <v>-1.7001999999999999</v>
      </c>
      <c r="CX5">
        <f ca="1">INDIRECT(CONCATENATE("'",$CU$1,"'!J")&amp;($CV$1))</f>
        <v>-0.93</v>
      </c>
      <c r="CY5">
        <f ca="1">INDIRECT(CONCATENATE("'",$CU$1,"'!M")&amp;($CV$1))</f>
        <v>2.0741000000000001</v>
      </c>
      <c r="CZ5" t="s">
        <v>124</v>
      </c>
      <c r="DI5" s="6"/>
      <c r="DJ5">
        <f ca="1">INDIRECT(CONCATENATE("'",$DI$1,"'!D")&amp;($DJ$1))</f>
        <v>0.37330000000000002</v>
      </c>
      <c r="DK5">
        <f ca="1">INDIRECT(CONCATENATE("'",$DI$1,"'!G")&amp;($DJ$1))</f>
        <v>0.31390000000000001</v>
      </c>
      <c r="DL5">
        <f ca="1">INDIRECT(CONCATENATE("'",$DI$1,"'!J")&amp;($DJ$1))</f>
        <v>-0.51100000000000001</v>
      </c>
      <c r="DM5">
        <f ca="1">INDIRECT(CONCATENATE("'",$DI$1,"'!M")&amp;($DJ$1))</f>
        <v>-5.6399999999999999E-2</v>
      </c>
      <c r="DQ5" s="6"/>
      <c r="DR5">
        <f ca="1">INDIRECT(CONCATENATE("'",$DQ$1,"'!D")&amp;($DR$1))</f>
        <v>0.44490000000000002</v>
      </c>
      <c r="DS5">
        <f ca="1">INDIRECT(CONCATENATE("'",$DQ$1,"'!G")&amp;($DR$1))</f>
        <v>0.54910000000000003</v>
      </c>
      <c r="DT5">
        <f ca="1">INDIRECT(CONCATENATE("'",$DQ$1,"'!J")&amp;($DR$1))</f>
        <v>-0.50460000000000005</v>
      </c>
      <c r="DU5">
        <f ca="1">INDIRECT(CONCATENATE("'",$DQ$1,"'!M")&amp;($DR$1))</f>
        <v>-0.20150000000000001</v>
      </c>
      <c r="ED5" s="6"/>
      <c r="EE5">
        <f ca="1">INDIRECT(CONCATENATE("'",$ED$1,"'!D")&amp;($EE$1))</f>
        <v>-0.25009999999999999</v>
      </c>
      <c r="EF5">
        <f ca="1">INDIRECT(CONCATENATE("'",$ED$1,"'!G")&amp;($EE$1))</f>
        <v>-0.82979999999999998</v>
      </c>
      <c r="EG5">
        <f ca="1">INDIRECT(CONCATENATE("'",$ED$1,"'!J")&amp;($EE$1))</f>
        <v>-0.67849999999999999</v>
      </c>
      <c r="EH5">
        <f ca="1">INDIRECT(CONCATENATE("'",$ED$1,"'!M")&amp;($EE$1))</f>
        <v>1.1418999999999999</v>
      </c>
      <c r="EK5" s="6"/>
      <c r="EL5">
        <f ca="1">INDIRECT(CONCATENATE("'",$EK$1,"'!D")&amp;($EL$1))</f>
        <v>1.2486999999999999</v>
      </c>
      <c r="EM5">
        <f ca="1">INDIRECT(CONCATENATE("'",$EK$1,"'!G")&amp;($EL$1))</f>
        <v>1.0057</v>
      </c>
      <c r="EN5">
        <f ca="1">INDIRECT(CONCATENATE("'",$EK$1,"'!J")&amp;($EL$1))</f>
        <v>9.6000000000000002E-2</v>
      </c>
      <c r="EO5">
        <f ca="1">INDIRECT(CONCATENATE("'",$EK$1,"'!M")&amp;($EL$1))</f>
        <v>-1.2097</v>
      </c>
      <c r="EV5" s="6"/>
      <c r="EW5">
        <f ca="1">INDIRECT(CONCATENATE("'",$EV$1,"'!D")&amp;($EW$1))</f>
        <v>-0.43180000000000002</v>
      </c>
      <c r="EY5">
        <f ca="1">INDIRECT(CONCATENATE("'",$EV$1,"'!G")&amp;($EW$1))</f>
        <v>1.0382</v>
      </c>
      <c r="FA5">
        <f ca="1">INDIRECT(CONCATENATE("'",$EV$1,"'!J")&amp;($EW$1))</f>
        <v>1.4853000000000001</v>
      </c>
      <c r="FC5">
        <f ca="1">INDIRECT(CONCATENATE("'",$EV$1,"'!M")&amp;($EW$1))</f>
        <v>-0.98629999999999995</v>
      </c>
      <c r="FN5" s="6"/>
      <c r="FO5">
        <f ca="1">INDIRECT(CONCATENATE("'",$FN$1,"'!D")&amp;($FO$1))</f>
        <v>-0.95630000000000004</v>
      </c>
      <c r="FP5">
        <f ca="1">INDIRECT(CONCATENATE("'",$FN$1,"'!G")&amp;($FO$1))</f>
        <v>0.2195</v>
      </c>
      <c r="FQ5">
        <f ca="1">INDIRECT(CONCATENATE("'",$FN$1,"'!J")&amp;($FO$1))</f>
        <v>-0.13589999999999999</v>
      </c>
      <c r="FR5">
        <f ca="1">INDIRECT(CONCATENATE("'",$FN$1,"'!M")&amp;($FO$1))</f>
        <v>0.35470000000000002</v>
      </c>
      <c r="FT5" s="6"/>
      <c r="FU5">
        <f ca="1">INDIRECT(CONCATENATE("'",$FT$1,"'!D")&amp;($FU$1))</f>
        <v>-0.4501</v>
      </c>
      <c r="FV5">
        <f ca="1">INDIRECT(CONCATENATE("'",$FT$1,"'!G")&amp;($FU$1))</f>
        <v>-2.1164999999999998</v>
      </c>
      <c r="FW5">
        <f ca="1">INDIRECT(CONCATENATE("'",$FT$1,"'!J")&amp;($FU$1))</f>
        <v>-0.16880000000000001</v>
      </c>
      <c r="FX5">
        <f ca="1">INDIRECT(CONCATENATE("'",$FT$1,"'!M")&amp;($FU$1))</f>
        <v>1.8704000000000001</v>
      </c>
      <c r="GH5" s="6"/>
      <c r="GI5">
        <f ca="1">INDIRECT(CONCATENATE("'",$GH$1,"'!D")&amp;($GI$1))</f>
        <v>-0.47299999999999998</v>
      </c>
      <c r="GJ5">
        <f ca="1">INDIRECT(CONCATENATE("'",$GH$1,"'!G")&amp;($GI$1))</f>
        <v>0.48430000000000001</v>
      </c>
      <c r="GK5">
        <f ca="1">INDIRECT(CONCATENATE("'",$GH$1,"'!J")&amp;($GI$1))</f>
        <v>0.47639999999999999</v>
      </c>
      <c r="GL5">
        <f ca="1">INDIRECT(CONCATENATE("'",$GH$1,"'!M")&amp;($GI$1))</f>
        <v>-0.30740000000000001</v>
      </c>
      <c r="GP5" s="6"/>
      <c r="GQ5">
        <f ca="1">INDIRECT(CONCATENATE("'",$GP$1,"'!D")&amp;($GQ$1))</f>
        <v>-1.6186</v>
      </c>
      <c r="GR5">
        <f ca="1">INDIRECT(CONCATENATE("'",$GP$1,"'!G")&amp;($GQ$1))</f>
        <v>-1.6997</v>
      </c>
      <c r="GS5">
        <f ca="1">INDIRECT(CONCATENATE("'",$GP$1,"'!J")&amp;($GQ$1))</f>
        <v>1.2625999999999999</v>
      </c>
      <c r="GT5">
        <f ca="1">INDIRECT(CONCATENATE("'",$GP$1,"'!M")&amp;($GQ$1))</f>
        <v>1.0585</v>
      </c>
    </row>
    <row r="6" spans="1:202" x14ac:dyDescent="0.25">
      <c r="A6" s="6" t="str">
        <f ca="1">INDIRECT(CONCATENATE("'",$A$1,"'!A")&amp;($B$1+1))</f>
        <v>No</v>
      </c>
      <c r="B6">
        <f ca="1">INDIRECT(CONCATENATE("'",$A$1,"'!B")&amp;($B$1+1))</f>
        <v>0.1371</v>
      </c>
      <c r="C6">
        <f ca="1">INDIRECT(CONCATENATE("'",$A$1,"'!E")&amp;($B$1+1))</f>
        <v>-7.8100000000000003E-2</v>
      </c>
      <c r="D6">
        <f ca="1">INDIRECT(CONCATENATE("'",$A$1,"'!H")&amp;($B$1+1))</f>
        <v>2.3900000000000001E-2</v>
      </c>
      <c r="E6">
        <f ca="1">INDIRECT(CONCATENATE("'",$A$1,"'!K")&amp;($B$1+1))</f>
        <v>-8.2900000000000001E-2</v>
      </c>
      <c r="K6" s="6" t="str">
        <f ca="1">INDIRECT(CONCATENATE("'",$K$1,"'!A")&amp;($L$1+1))</f>
        <v>No</v>
      </c>
      <c r="L6">
        <f ca="1">INDIRECT(CONCATENATE("'",$K$1,"'!B")&amp;($L$1+1))</f>
        <v>0.1424</v>
      </c>
      <c r="M6">
        <f ca="1">INDIRECT(CONCATENATE("'",$K$1,"'!E")&amp;($L$1+1))</f>
        <v>-7.1999999999999998E-3</v>
      </c>
      <c r="N6">
        <f ca="1">INDIRECT(CONCATENATE("'",$K$1,"'!H")&amp;($L$1+1))</f>
        <v>5.33E-2</v>
      </c>
      <c r="O6">
        <f ca="1">INDIRECT(CONCATENATE("'",$K$1,"'!K")&amp;($L$1+1))</f>
        <v>-0.18840000000000001</v>
      </c>
      <c r="S6" s="6">
        <f ca="1">INDIRECT(CONCATENATE("'",$S$1,"'!A")&amp;($V$1+T6))</f>
        <v>1516</v>
      </c>
      <c r="T6" s="6">
        <v>1</v>
      </c>
      <c r="U6">
        <f ca="1">INDIRECT(CONCATENATE("'",$S$1,"'!B")&amp;($V$1+T6))</f>
        <v>-7.9450000000000003</v>
      </c>
      <c r="V6">
        <f ca="1">INDIRECT(CONCATENATE("'",$S$1,"'!E")&amp;($V$1+T6))</f>
        <v>-8.4747000000000003</v>
      </c>
      <c r="W6">
        <f ca="1">INDIRECT(CONCATENATE("'",$S$1,"'!H")&amp;($V$1+T6))</f>
        <v>-8.2768999999999995</v>
      </c>
      <c r="X6">
        <f ca="1">INDIRECT(CONCATENATE("'",$S$1,"'!K")&amp;($V$1+T6))</f>
        <v>24.6967</v>
      </c>
      <c r="AO6" s="6">
        <f ca="1">INDIRECT(CONCATENATE("'",$AO$1,"'!A")&amp;($AP$1+1))</f>
        <v>100</v>
      </c>
      <c r="AP6">
        <f ca="1">INDIRECT(CONCATENATE("'",$AO$1,"'!B")&amp;($AP$1+1))</f>
        <v>-0.2447</v>
      </c>
      <c r="AQ6">
        <f ca="1">INDIRECT(CONCATENATE("'",$AO$1,"'!E")&amp;($AP$1+1))</f>
        <v>4.1700000000000001E-2</v>
      </c>
      <c r="AR6">
        <f ca="1">INDIRECT(CONCATENATE("'",$AO$1,"'!H")&amp;($AP$1+1))</f>
        <v>0.1764</v>
      </c>
      <c r="AS6">
        <f ca="1">INDIRECT(CONCATENATE("'",$AO$1,"'!K")&amp;($AP$1+1))</f>
        <v>2.6599999999999999E-2</v>
      </c>
      <c r="AW6" s="6">
        <f ca="1">INDIRECT(CONCATENATE("'",$AW$1,"'!A")&amp;($AX$1+1))</f>
        <v>100</v>
      </c>
      <c r="AX6">
        <f ca="1">INDIRECT(CONCATENATE("'",$AW$1,"'!B")&amp;($AX$1+1))</f>
        <v>-0.3528</v>
      </c>
      <c r="AY6">
        <f ca="1">INDIRECT(CONCATENATE("'",$AW$1,"'!E")&amp;($AX$1+1))</f>
        <v>5.0299999999999997E-2</v>
      </c>
      <c r="AZ6">
        <f ca="1">INDIRECT(CONCATENATE("'",$AW$1,"'!H")&amp;($AX$1+1))</f>
        <v>-9.5899999999999999E-2</v>
      </c>
      <c r="BA6">
        <f ca="1">INDIRECT(CONCATENATE("'",$AW$1,"'!K")&amp;($AX$1+1))</f>
        <v>0.39829999999999999</v>
      </c>
      <c r="BH6" s="6"/>
      <c r="BZ6" s="6"/>
      <c r="CF6" s="6">
        <f ca="1">INDIRECT(CONCATENATE("'",$CF$1,"'!A")&amp;($CG$1+1))</f>
        <v>100</v>
      </c>
      <c r="CG6">
        <f ca="1">INDIRECT(CONCATENATE("'",$CF$1,"'!B")&amp;($CG$1+1))</f>
        <v>0.1163</v>
      </c>
      <c r="CH6">
        <f ca="1">INDIRECT(CONCATENATE("'",$CF$1,"'!E")&amp;($CG$1+1))</f>
        <v>-5.8999999999999997E-2</v>
      </c>
      <c r="CI6">
        <f ca="1">INDIRECT(CONCATENATE("'",$CF$1,"'!H")&amp;($CG$1+1))</f>
        <v>-6.1499999999999999E-2</v>
      </c>
      <c r="CJ6">
        <f ca="1">INDIRECT(CONCATENATE("'",$CF$1,"'!K")&amp;($CG$1+1))</f>
        <v>4.3E-3</v>
      </c>
      <c r="CN6" s="6"/>
      <c r="CU6" s="6" t="str">
        <f ca="1">INDIRECT(CONCATENATE("'",$CU$1,"'!A")&amp;($CV$1+1))</f>
        <v>National â€“ main product sold mostly across the country whe</v>
      </c>
      <c r="CV6">
        <f ca="1">INDIRECT(CONCATENATE("'",$CU$1,"'!B")&amp;($CV$1+1))</f>
        <v>0.13089999999999999</v>
      </c>
      <c r="CW6">
        <f ca="1">INDIRECT(CONCATENATE("'",$CU$1,"'!E")&amp;($CV$1+1))</f>
        <v>0.2586</v>
      </c>
      <c r="CX6">
        <f ca="1">INDIRECT(CONCATENATE("'",$CU$1,"'!H")&amp;($CV$1+1))</f>
        <v>-7.1499999999999994E-2</v>
      </c>
      <c r="CY6">
        <f ca="1">INDIRECT(CONCATENATE("'",$CU$1,"'!K")&amp;($CV$1+1))</f>
        <v>-0.318</v>
      </c>
      <c r="DI6" s="6">
        <f ca="1">INDIRECT(CONCATENATE("'",$DI$1,"'!A")&amp;($DJ$1+1))</f>
        <v>100</v>
      </c>
      <c r="DJ6">
        <f ca="1">INDIRECT(CONCATENATE("'",$DI$1,"'!B")&amp;($DJ$1+1))</f>
        <v>-3.5099999999999999E-2</v>
      </c>
      <c r="DK6">
        <f ca="1">INDIRECT(CONCATENATE("'",$DI$1,"'!E")&amp;($DJ$1+1))</f>
        <v>-3.7499999999999999E-2</v>
      </c>
      <c r="DL6">
        <f ca="1">INDIRECT(CONCATENATE("'",$DI$1,"'!H")&amp;($DJ$1+1))</f>
        <v>5.9400000000000001E-2</v>
      </c>
      <c r="DM6">
        <f ca="1">INDIRECT(CONCATENATE("'",$DI$1,"'!K")&amp;($DJ$1+1))</f>
        <v>1.32E-2</v>
      </c>
      <c r="DQ6" s="6" t="str">
        <f ca="1">INDIRECT(CONCATENATE("'",$DQ$1,"'!A")&amp;($DR$1+1))</f>
        <v>Retail</v>
      </c>
      <c r="DR6">
        <f ca="1">INDIRECT(CONCATENATE("'",$DQ$1,"'!B")&amp;($DR$1+1))</f>
        <v>0.22209999999999999</v>
      </c>
      <c r="DS6">
        <f ca="1">INDIRECT(CONCATENATE("'",$DQ$1,"'!E")&amp;($DR$1+1))</f>
        <v>-0.1321</v>
      </c>
      <c r="DT6">
        <f ca="1">INDIRECT(CONCATENATE("'",$DQ$1,"'!H")&amp;($DR$1+1))</f>
        <v>6.13E-2</v>
      </c>
      <c r="DU6">
        <f ca="1">INDIRECT(CONCATENATE("'",$DQ$1,"'!K")&amp;($DR$1+1))</f>
        <v>-0.15129999999999999</v>
      </c>
      <c r="ED6" s="6"/>
      <c r="EK6" s="6">
        <f ca="1">INDIRECT(CONCATENATE("'",$EK$1,"'!A")&amp;($EL$1+1))</f>
        <v>100</v>
      </c>
      <c r="EL6">
        <f ca="1">INDIRECT(CONCATENATE("'",$EK$1,"'!B")&amp;($EL$1+1))</f>
        <v>-0.1668</v>
      </c>
      <c r="EM6">
        <f ca="1">INDIRECT(CONCATENATE("'",$EK$1,"'!E")&amp;($EL$1+1))</f>
        <v>-0.17169999999999999</v>
      </c>
      <c r="EN6">
        <f ca="1">INDIRECT(CONCATENATE("'",$EK$1,"'!H")&amp;($EL$1+1))</f>
        <v>-1.5299999999999999E-2</v>
      </c>
      <c r="EO6">
        <f ca="1">INDIRECT(CONCATENATE("'",$EK$1,"'!K")&amp;($EL$1+1))</f>
        <v>0.3538</v>
      </c>
      <c r="EV6" s="6"/>
      <c r="EW6" s="6" t="str">
        <f ca="1">INDIRECT(CONCATENATE("'",$BH$1,"'!B")&amp;($BI$1-2))</f>
        <v>Cluster1</v>
      </c>
      <c r="EX6" s="6" t="s">
        <v>163</v>
      </c>
      <c r="EY6" s="6" t="str">
        <f ca="1">INDIRECT(CONCATENATE("'",$BH$1,"'!E")&amp;($BI$1-2))</f>
        <v>Cluster2</v>
      </c>
      <c r="EZ6" s="6" t="s">
        <v>163</v>
      </c>
      <c r="FA6" s="6" t="str">
        <f ca="1">INDIRECT(CONCATENATE("'",$BH$1,"'!H")&amp;($BI$1-2))</f>
        <v>Cluster3</v>
      </c>
      <c r="FB6" s="6" t="s">
        <v>163</v>
      </c>
      <c r="FC6" s="6" t="str">
        <f ca="1">INDIRECT(CONCATENATE("'",$BH$1,"'!K")&amp;($BI$1-2))</f>
        <v>Cluster4</v>
      </c>
      <c r="FD6" s="6" t="s">
        <v>163</v>
      </c>
      <c r="FN6" s="6" t="str">
        <f ca="1">INDIRECT(CONCATENATE("'",$FN$1,"'!A")&amp;($FO$1+1))</f>
        <v>No</v>
      </c>
      <c r="FO6">
        <f ca="1">INDIRECT(CONCATENATE("'",$FN$1,"'!B")&amp;($FO$1+1))</f>
        <v>0.1101</v>
      </c>
      <c r="FP6">
        <f ca="1">INDIRECT(CONCATENATE("'",$FN$1,"'!E")&amp;($FO$1+1))</f>
        <v>-3.1300000000000001E-2</v>
      </c>
      <c r="FQ6">
        <f ca="1">INDIRECT(CONCATENATE("'",$FN$1,"'!H")&amp;($FO$1+1))</f>
        <v>1.83E-2</v>
      </c>
      <c r="FR6">
        <f ca="1">INDIRECT(CONCATENATE("'",$FN$1,"'!K")&amp;($FO$1+1))</f>
        <v>-9.7000000000000003E-2</v>
      </c>
      <c r="FT6" s="6" t="str">
        <f ca="1">INDIRECT(CONCATENATE("'",$FT$1,"'!A")&amp;($FU$1+1))</f>
        <v>Shareholding company with non-traded shares or shares traded</v>
      </c>
      <c r="FU6">
        <f ca="1">INDIRECT(CONCATENATE("'",$FT$1,"'!B")&amp;($FU$1+1))</f>
        <v>-0.1173</v>
      </c>
      <c r="FV6">
        <f ca="1">INDIRECT(CONCATENATE("'",$FT$1,"'!E")&amp;($FU$1+1))</f>
        <v>0.11700000000000001</v>
      </c>
      <c r="FW6">
        <f ca="1">INDIRECT(CONCATENATE("'",$FT$1,"'!H")&amp;($FU$1+1))</f>
        <v>0.1449</v>
      </c>
      <c r="FX6">
        <f ca="1">INDIRECT(CONCATENATE("'",$FT$1,"'!K")&amp;($FU$1+1))</f>
        <v>-0.1447</v>
      </c>
      <c r="GH6" s="6" t="str">
        <f ca="1">INDIRECT(CONCATENATE("'",$GH$1,"'!A")&amp;($GI$1+1))</f>
        <v>No</v>
      </c>
      <c r="GI6">
        <f ca="1">INDIRECT(CONCATENATE("'",$GH$1,"'!B")&amp;($GI$1+1))</f>
        <v>3.9899999999999998E-2</v>
      </c>
      <c r="GJ6">
        <f ca="1">INDIRECT(CONCATENATE("'",$GH$1,"'!E")&amp;($GI$1+1))</f>
        <v>-5.3199999999999997E-2</v>
      </c>
      <c r="GK6">
        <f ca="1">INDIRECT(CONCATENATE("'",$GH$1,"'!H")&amp;($GI$1+1))</f>
        <v>-5.0799999999999998E-2</v>
      </c>
      <c r="GL6">
        <f ca="1">INDIRECT(CONCATENATE("'",$GH$1,"'!K")&amp;($GI$1+1))</f>
        <v>6.4199999999999993E-2</v>
      </c>
      <c r="GP6" s="6">
        <f ca="1">INDIRECT(CONCATENATE("'",$GP$1,"'!A")&amp;($GQ$1+1))</f>
        <v>100</v>
      </c>
      <c r="GQ6">
        <f ca="1">INDIRECT(CONCATENATE("'",$GP$1,"'!B")&amp;($GQ$1+1))</f>
        <v>0.1741</v>
      </c>
      <c r="GR6">
        <f ca="1">INDIRECT(CONCATENATE("'",$GP$1,"'!E")&amp;($GQ$1+1))</f>
        <v>0.2631</v>
      </c>
      <c r="GS6">
        <f ca="1">INDIRECT(CONCATENATE("'",$GP$1,"'!H")&amp;($GQ$1+1))</f>
        <v>-0.16789999999999999</v>
      </c>
      <c r="GT6">
        <f ca="1">INDIRECT(CONCATENATE("'",$GP$1,"'!K")&amp;($GQ$1+1))</f>
        <v>-0.26919999999999999</v>
      </c>
    </row>
    <row r="7" spans="1:202" x14ac:dyDescent="0.25">
      <c r="A7" s="6"/>
      <c r="B7">
        <f ca="1">INDIRECT(CONCATENATE("'",$A$1,"'!D")&amp;($B$1+1))</f>
        <v>1.6251</v>
      </c>
      <c r="C7">
        <f ca="1">INDIRECT(CONCATENATE("'",$A$1,"'!G")&amp;($B$1+1))</f>
        <v>-0.72509999999999997</v>
      </c>
      <c r="D7">
        <f ca="1">INDIRECT(CONCATENATE("'",$A$1,"'!J")&amp;($B$1+1))</f>
        <v>0.22889999999999999</v>
      </c>
      <c r="E7">
        <f ca="1">INDIRECT(CONCATENATE("'",$A$1,"'!M")&amp;($B$1+1))</f>
        <v>-0.4042</v>
      </c>
      <c r="K7" s="6"/>
      <c r="L7">
        <f ca="1">INDIRECT(CONCATENATE("'",$K$1,"'!D")&amp;($L$1+1))</f>
        <v>1.6641999999999999</v>
      </c>
      <c r="M7">
        <f ca="1">INDIRECT(CONCATENATE("'",$K$1,"'!G")&amp;($L$1+1))</f>
        <v>-6.54E-2</v>
      </c>
      <c r="N7">
        <f ca="1">INDIRECT(CONCATENATE("'",$K$1,"'!J")&amp;($L$1+1))</f>
        <v>0.49859999999999999</v>
      </c>
      <c r="O7">
        <f ca="1">INDIRECT(CONCATENATE("'",$K$1,"'!M")&amp;($L$1+1))</f>
        <v>-0.91569999999999996</v>
      </c>
      <c r="S7" s="6"/>
      <c r="T7" s="6"/>
      <c r="U7">
        <f ca="1">INDIRECT(CONCATENATE("'",$S$1,"'!D")&amp;($V$1+T6))</f>
        <v>-23.944600000000001</v>
      </c>
      <c r="V7">
        <f ca="1">INDIRECT(CONCATENATE("'",$S$1,"'!G")&amp;($V$1+T6))</f>
        <v>-23.145099999999999</v>
      </c>
      <c r="W7">
        <f ca="1">INDIRECT(CONCATENATE("'",$S$1,"'!J")&amp;($V$1+T6))</f>
        <v>-23.617899999999999</v>
      </c>
      <c r="X7">
        <f ca="1">INDIRECT(CONCATENATE("'",$S$1,"'!M")&amp;($V$1+T6))</f>
        <v>27.369499999999999</v>
      </c>
      <c r="AO7" s="6"/>
      <c r="AP7">
        <f ca="1">INDIRECT(CONCATENATE("'",$AO$1,"'!D")&amp;($AP$1+1))</f>
        <v>-2.0598000000000001</v>
      </c>
      <c r="AQ7">
        <f ca="1">INDIRECT(CONCATENATE("'",$AO$1,"'!G")&amp;($AP$1+1))</f>
        <v>0.22359999999999999</v>
      </c>
      <c r="AR7">
        <f ca="1">INDIRECT(CONCATENATE("'",$AO$1,"'!J")&amp;($AP$1+1))</f>
        <v>1.2637</v>
      </c>
      <c r="AS7">
        <f ca="1">INDIRECT(CONCATENATE("'",$AO$1,"'!M")&amp;($AP$1+1))</f>
        <v>0.1246</v>
      </c>
      <c r="AW7" s="6"/>
      <c r="AX7">
        <f ca="1">INDIRECT(CONCATENATE("'",$AW$1,"'!D")&amp;($AX$1+1))</f>
        <v>-2.6110000000000002</v>
      </c>
      <c r="AY7">
        <f ca="1">INDIRECT(CONCATENATE("'",$AW$1,"'!G")&amp;($AX$1+1))</f>
        <v>0.27379999999999999</v>
      </c>
      <c r="AZ7">
        <f ca="1">INDIRECT(CONCATENATE("'",$AW$1,"'!J")&amp;($AX$1+1))</f>
        <v>-0.55879999999999996</v>
      </c>
      <c r="BA7">
        <f ca="1">INDIRECT(CONCATENATE("'",$AW$1,"'!M")&amp;($AX$1+1))</f>
        <v>1.6157999999999999</v>
      </c>
      <c r="BH7" s="6"/>
      <c r="BZ7" s="6"/>
      <c r="CF7" s="6"/>
      <c r="CG7">
        <f ca="1">INDIRECT(CONCATENATE("'",$CF$1,"'!D")&amp;($CG$1+1))</f>
        <v>0.85799999999999998</v>
      </c>
      <c r="CH7">
        <f ca="1">INDIRECT(CONCATENATE("'",$CF$1,"'!G")&amp;($CG$1+1))</f>
        <v>-0.32019999999999998</v>
      </c>
      <c r="CI7">
        <f ca="1">INDIRECT(CONCATENATE("'",$CF$1,"'!J")&amp;($CG$1+1))</f>
        <v>-0.38469999999999999</v>
      </c>
      <c r="CJ7">
        <f ca="1">INDIRECT(CONCATENATE("'",$CF$1,"'!M")&amp;($CG$1+1))</f>
        <v>1.23E-2</v>
      </c>
      <c r="CN7" s="6"/>
      <c r="CU7" s="6"/>
      <c r="CV7">
        <f ca="1">INDIRECT(CONCATENATE("'",$CU$1,"'!D")&amp;($CV$1+1))</f>
        <v>0.70050000000000001</v>
      </c>
      <c r="CW7">
        <f ca="1">INDIRECT(CONCATENATE("'",$CU$1,"'!G")&amp;($CV$1+1))</f>
        <v>1.2917000000000001</v>
      </c>
      <c r="CX7">
        <f ca="1">INDIRECT(CONCATENATE("'",$CU$1,"'!J")&amp;($CV$1+1))</f>
        <v>-0.35170000000000001</v>
      </c>
      <c r="CY7">
        <f ca="1">INDIRECT(CONCATENATE("'",$CU$1,"'!M")&amp;($CV$1+1))</f>
        <v>-0.8145</v>
      </c>
      <c r="DI7" s="6"/>
      <c r="DJ7">
        <f ca="1">INDIRECT(CONCATENATE("'",$DI$1,"'!D")&amp;($DJ$1+1))</f>
        <v>-0.37330000000000002</v>
      </c>
      <c r="DK7">
        <f ca="1">INDIRECT(CONCATENATE("'",$DI$1,"'!G")&amp;($DJ$1+1))</f>
        <v>-0.31390000000000001</v>
      </c>
      <c r="DL7">
        <f ca="1">INDIRECT(CONCATENATE("'",$DI$1,"'!J")&amp;($DJ$1+1))</f>
        <v>0.51100000000000001</v>
      </c>
      <c r="DM7">
        <f ca="1">INDIRECT(CONCATENATE("'",$DI$1,"'!M")&amp;($DJ$1+1))</f>
        <v>5.6399999999999999E-2</v>
      </c>
      <c r="DQ7" s="6"/>
      <c r="DR7">
        <f ca="1">INDIRECT(CONCATENATE("'",$DQ$1,"'!D")&amp;($DR$1+1))</f>
        <v>1.3251999999999999</v>
      </c>
      <c r="DS7">
        <f ca="1">INDIRECT(CONCATENATE("'",$DQ$1,"'!G")&amp;($DR$1+1))</f>
        <v>-0.61929999999999996</v>
      </c>
      <c r="DT7">
        <f ca="1">INDIRECT(CONCATENATE("'",$DQ$1,"'!J")&amp;($DR$1+1))</f>
        <v>0.30990000000000001</v>
      </c>
      <c r="DU7">
        <f ca="1">INDIRECT(CONCATENATE("'",$DQ$1,"'!M")&amp;($DR$1+1))</f>
        <v>-0.33889999999999998</v>
      </c>
      <c r="ED7" s="6"/>
      <c r="EK7" s="6"/>
      <c r="EL7">
        <f ca="1">INDIRECT(CONCATENATE("'",$EK$1,"'!D")&amp;($EL$1+1))</f>
        <v>-1.2486999999999999</v>
      </c>
      <c r="EM7">
        <f ca="1">INDIRECT(CONCATENATE("'",$EK$1,"'!G")&amp;($EL$1+1))</f>
        <v>-1.0057</v>
      </c>
      <c r="EN7">
        <f ca="1">INDIRECT(CONCATENATE("'",$EK$1,"'!J")&amp;($EL$1+1))</f>
        <v>-9.6000000000000002E-2</v>
      </c>
      <c r="EO7">
        <f ca="1">INDIRECT(CONCATENATE("'",$EK$1,"'!M")&amp;($EL$1+1))</f>
        <v>1.2097</v>
      </c>
      <c r="EV7" s="6" t="s">
        <v>120</v>
      </c>
      <c r="EW7" s="6" t="s">
        <v>300</v>
      </c>
      <c r="EX7" s="6" t="s">
        <v>105</v>
      </c>
      <c r="EY7" s="6" t="s">
        <v>288</v>
      </c>
      <c r="EZ7" s="6"/>
      <c r="FA7" s="6" t="s">
        <v>289</v>
      </c>
      <c r="FB7" s="6"/>
      <c r="FC7" s="6" t="s">
        <v>287</v>
      </c>
      <c r="FD7" s="6"/>
      <c r="FG7" s="6"/>
      <c r="FH7" s="6"/>
      <c r="FI7" s="6"/>
      <c r="FJ7" s="6"/>
      <c r="FN7" s="6"/>
      <c r="FO7">
        <f ca="1">INDIRECT(CONCATENATE("'",$FN$1,"'!D")&amp;($FO$1+1))</f>
        <v>0.95630000000000004</v>
      </c>
      <c r="FP7">
        <f ca="1">INDIRECT(CONCATENATE("'",$FN$1,"'!G")&amp;($FO$1+1))</f>
        <v>-0.2195</v>
      </c>
      <c r="FQ7">
        <f ca="1">INDIRECT(CONCATENATE("'",$FN$1,"'!J")&amp;($FO$1+1))</f>
        <v>0.13589999999999999</v>
      </c>
      <c r="FR7">
        <f ca="1">INDIRECT(CONCATENATE("'",$FN$1,"'!M")&amp;($FO$1+1))</f>
        <v>-0.35470000000000002</v>
      </c>
      <c r="FT7" s="6"/>
      <c r="FU7">
        <f ca="1">INDIRECT(CONCATENATE("'",$FT$1,"'!D")&amp;($FU$1+1))</f>
        <v>-0.87919999999999998</v>
      </c>
      <c r="FV7">
        <f ca="1">INDIRECT(CONCATENATE("'",$FT$1,"'!G")&amp;($FU$1+1))</f>
        <v>0.68120000000000003</v>
      </c>
      <c r="FW7">
        <f ca="1">INDIRECT(CONCATENATE("'",$FT$1,"'!J")&amp;($FU$1+1))</f>
        <v>0.90410000000000001</v>
      </c>
      <c r="FX7">
        <f ca="1">INDIRECT(CONCATENATE("'",$FT$1,"'!M")&amp;($FU$1+1))</f>
        <v>-0.46260000000000001</v>
      </c>
      <c r="GH7" s="6"/>
      <c r="GI7">
        <f ca="1">INDIRECT(CONCATENATE("'",$GH$1,"'!D")&amp;($GI$1+1))</f>
        <v>0.47299999999999998</v>
      </c>
      <c r="GJ7">
        <f ca="1">INDIRECT(CONCATENATE("'",$GH$1,"'!G")&amp;($GI$1+1))</f>
        <v>-0.48430000000000001</v>
      </c>
      <c r="GK7">
        <f ca="1">INDIRECT(CONCATENATE("'",$GH$1,"'!J")&amp;($GI$1+1))</f>
        <v>-0.47639999999999999</v>
      </c>
      <c r="GL7">
        <f ca="1">INDIRECT(CONCATENATE("'",$GH$1,"'!M")&amp;($GI$1+1))</f>
        <v>0.30740000000000001</v>
      </c>
      <c r="GP7" s="6"/>
      <c r="GQ7">
        <f ca="1">INDIRECT(CONCATENATE("'",$GP$1,"'!D")&amp;($GQ$1+1))</f>
        <v>1.6186</v>
      </c>
      <c r="GR7">
        <f ca="1">INDIRECT(CONCATENATE("'",$GP$1,"'!G")&amp;($GQ$1+1))</f>
        <v>1.6997</v>
      </c>
      <c r="GS7">
        <f ca="1">INDIRECT(CONCATENATE("'",$GP$1,"'!J")&amp;($GQ$1+1))</f>
        <v>-1.2625999999999999</v>
      </c>
      <c r="GT7">
        <f ca="1">INDIRECT(CONCATENATE("'",$GP$1,"'!M")&amp;($GQ$1+1))</f>
        <v>-1.0585</v>
      </c>
    </row>
    <row r="8" spans="1:202" x14ac:dyDescent="0.25">
      <c r="A8" s="6"/>
      <c r="K8" s="6"/>
      <c r="S8" s="6">
        <f ca="1">INDIRECT(CONCATENATE("'",$S$1,"'!A")&amp;($V$1+T8))</f>
        <v>2728</v>
      </c>
      <c r="T8" s="6">
        <v>2</v>
      </c>
      <c r="U8">
        <f ca="1">INDIRECT(CONCATENATE("'",$S$1,"'!B")&amp;($V$1+T8))</f>
        <v>24.8245</v>
      </c>
      <c r="V8">
        <f ca="1">INDIRECT(CONCATENATE("'",$S$1,"'!E")&amp;($V$1+T8))</f>
        <v>25.521799999999999</v>
      </c>
      <c r="W8">
        <f ca="1">INDIRECT(CONCATENATE("'",$S$1,"'!H")&amp;($V$1+T8))</f>
        <v>25.430099999999999</v>
      </c>
      <c r="X8">
        <f ca="1">INDIRECT(CONCATENATE("'",$S$1,"'!K")&amp;($V$1+T8))</f>
        <v>-75.776399999999995</v>
      </c>
      <c r="AO8" s="6"/>
      <c r="AW8" s="6"/>
      <c r="BZ8" s="6"/>
      <c r="CF8" s="6"/>
      <c r="CN8" s="6"/>
      <c r="CU8" s="6" t="str">
        <f ca="1">INDIRECT(CONCATENATE("'",$CU$1,"'!A")&amp;($CV$1+2))</f>
        <v>International</v>
      </c>
      <c r="CV8">
        <f ca="1">INDIRECT(CONCATENATE("'",$CU$1,"'!B")&amp;($CV$1+2))</f>
        <v>0.2079</v>
      </c>
      <c r="CW8">
        <f ca="1">INDIRECT(CONCATENATE("'",$CU$1,"'!E")&amp;($CV$1+2))</f>
        <v>0.1366</v>
      </c>
      <c r="CX8">
        <f ca="1">INDIRECT(CONCATENATE("'",$CU$1,"'!H")&amp;($CV$1+2))</f>
        <v>0.27260000000000001</v>
      </c>
      <c r="CY8">
        <f ca="1">INDIRECT(CONCATENATE("'",$CU$1,"'!K")&amp;($CV$1+2))</f>
        <v>-0.61699999999999999</v>
      </c>
      <c r="DI8" s="6"/>
      <c r="DQ8" s="6" t="str">
        <f ca="1">INDIRECT(CONCATENATE("'",$DQ$1,"'!A")&amp;($DR$1+2))</f>
        <v>Other Services</v>
      </c>
      <c r="DR8">
        <f ca="1">INDIRECT(CONCATENATE("'",$DQ$1,"'!B")&amp;($DR$1+2))</f>
        <v>-0.28489999999999999</v>
      </c>
      <c r="DS8">
        <f ca="1">INDIRECT(CONCATENATE("'",$DQ$1,"'!E")&amp;($DR$1+2))</f>
        <v>3.6900000000000002E-2</v>
      </c>
      <c r="DT8">
        <f ca="1">INDIRECT(CONCATENATE("'",$DQ$1,"'!H")&amp;($DR$1+2))</f>
        <v>2.1000000000000001E-2</v>
      </c>
      <c r="DU8">
        <f ca="1">INDIRECT(CONCATENATE("'",$DQ$1,"'!K")&amp;($DR$1+2))</f>
        <v>0.2271</v>
      </c>
      <c r="ED8" s="6" t="s">
        <v>120</v>
      </c>
      <c r="EE8" s="6" t="str">
        <f ca="1">INDIRECT(CONCATENATE("'",$BH$1,"'!B")&amp;($BI$1-2))</f>
        <v>Cluster1</v>
      </c>
      <c r="EF8" s="6" t="str">
        <f ca="1">INDIRECT(CONCATENATE("'",$BH$1,"'!E")&amp;($BI$1-2))</f>
        <v>Cluster2</v>
      </c>
      <c r="EG8" s="6" t="str">
        <f ca="1">INDIRECT(CONCATENATE("'",$BH$1,"'!H")&amp;($BI$1-2))</f>
        <v>Cluster3</v>
      </c>
      <c r="EH8" s="6" t="str">
        <f ca="1">INDIRECT(CONCATENATE("'",$BH$1,"'!K")&amp;($BI$1-2))</f>
        <v>Cluster4</v>
      </c>
      <c r="EK8" s="6"/>
      <c r="EV8" s="7">
        <f>mgmt!$A220</f>
        <v>0</v>
      </c>
      <c r="EW8" s="14">
        <f>mgmt!B220</f>
        <v>0.75819999999999999</v>
      </c>
      <c r="EX8" s="14">
        <f>1.96*mgmt!C220</f>
        <v>0.112112</v>
      </c>
      <c r="EY8" s="14">
        <f>mgmt!D220</f>
        <v>0.1089</v>
      </c>
      <c r="EZ8" s="14">
        <f>1.96*mgmt!E220</f>
        <v>8.8984000000000008E-2</v>
      </c>
      <c r="FA8" s="14">
        <f>mgmt!F220</f>
        <v>9.7699999999999995E-2</v>
      </c>
      <c r="FB8" s="14">
        <f>1.96*mgmt!G220</f>
        <v>4.9588E-2</v>
      </c>
      <c r="FC8" s="14">
        <f>mgmt!H220</f>
        <v>3.5200000000000002E-2</v>
      </c>
      <c r="FD8" s="14">
        <f>1.96*mgmt!I220</f>
        <v>7.0167999999999994E-2</v>
      </c>
      <c r="FN8" s="6"/>
      <c r="FT8" s="6" t="str">
        <f ca="1">INDIRECT(CONCATENATE("'",$FT$1,"'!A")&amp;($FU$1+2))</f>
        <v>Sole proprietorship</v>
      </c>
      <c r="FU8">
        <f ca="1">INDIRECT(CONCATENATE("'",$FT$1,"'!B")&amp;($FU$1+2))</f>
        <v>0.24299999999999999</v>
      </c>
      <c r="FV8">
        <f ca="1">INDIRECT(CONCATENATE("'",$FT$1,"'!E")&amp;($FU$1+2))</f>
        <v>0.52129999999999999</v>
      </c>
      <c r="FW8">
        <f ca="1">INDIRECT(CONCATENATE("'",$FT$1,"'!H")&amp;($FU$1+2))</f>
        <v>-0.22939999999999999</v>
      </c>
      <c r="FX8">
        <f ca="1">INDIRECT(CONCATENATE("'",$FT$1,"'!K")&amp;($FU$1+2))</f>
        <v>-0.53480000000000005</v>
      </c>
      <c r="GH8" s="6"/>
      <c r="GP8" s="6"/>
    </row>
    <row r="9" spans="1:202" x14ac:dyDescent="0.25">
      <c r="A9" t="s">
        <v>121</v>
      </c>
      <c r="B9">
        <v>196</v>
      </c>
      <c r="K9" t="s">
        <v>121</v>
      </c>
      <c r="L9">
        <v>196</v>
      </c>
      <c r="S9" s="6"/>
      <c r="T9" s="6"/>
      <c r="U9">
        <f ca="1">INDIRECT(CONCATENATE("'",$S$1,"'!D")&amp;($V$1+T8))</f>
        <v>18.158000000000001</v>
      </c>
      <c r="V9">
        <f ca="1">INDIRECT(CONCATENATE("'",$S$1,"'!G")&amp;($V$1+T8))</f>
        <v>18.327200000000001</v>
      </c>
      <c r="W9">
        <f ca="1">INDIRECT(CONCATENATE("'",$S$1,"'!J")&amp;($V$1+T8))</f>
        <v>18.8002</v>
      </c>
      <c r="X9">
        <f ca="1">INDIRECT(CONCATENATE("'",$S$1,"'!M")&amp;($V$1+T8))</f>
        <v>-18.840800000000002</v>
      </c>
      <c r="AO9" t="s">
        <v>121</v>
      </c>
      <c r="AP9">
        <v>196</v>
      </c>
      <c r="AW9" t="s">
        <v>121</v>
      </c>
      <c r="AX9">
        <v>196</v>
      </c>
      <c r="BH9" s="6" t="s">
        <v>120</v>
      </c>
      <c r="BI9" s="6" t="str">
        <f ca="1">INDIRECT(CONCATENATE("'",$BH$1,"'!B")&amp;($BI$1-2))</f>
        <v>Cluster1</v>
      </c>
      <c r="BJ9" s="6" t="str">
        <f ca="1">INDIRECT(CONCATENATE("'",$BH$1,"'!E")&amp;($BI$1-2))</f>
        <v>Cluster2</v>
      </c>
      <c r="BK9" s="6" t="str">
        <f ca="1">INDIRECT(CONCATENATE("'",$BH$1,"'!H")&amp;($BI$1-2))</f>
        <v>Cluster3</v>
      </c>
      <c r="BL9" s="6" t="str">
        <f ca="1">INDIRECT(CONCATENATE("'",$BH$1,"'!K")&amp;($BI$1-2))</f>
        <v>Cluster4</v>
      </c>
      <c r="CF9" t="s">
        <v>121</v>
      </c>
      <c r="CG9">
        <v>196</v>
      </c>
      <c r="CU9" s="6"/>
      <c r="CV9">
        <f ca="1">INDIRECT(CONCATENATE("'",$CU$1,"'!D")&amp;($CV$1+2))</f>
        <v>0.72740000000000005</v>
      </c>
      <c r="CW9">
        <f ca="1">INDIRECT(CONCATENATE("'",$CU$1,"'!G")&amp;($CV$1+2))</f>
        <v>0.50429999999999997</v>
      </c>
      <c r="CX9">
        <f ca="1">INDIRECT(CONCATENATE("'",$CU$1,"'!J")&amp;($CV$1+2))</f>
        <v>1.0209999999999999</v>
      </c>
      <c r="CY9">
        <f ca="1">INDIRECT(CONCATENATE("'",$CU$1,"'!M")&amp;($CV$1+2))</f>
        <v>-1.1298999999999999</v>
      </c>
      <c r="DI9" t="s">
        <v>121</v>
      </c>
      <c r="DJ9">
        <v>196</v>
      </c>
      <c r="DQ9" s="6"/>
      <c r="DR9">
        <f ca="1">INDIRECT(CONCATENATE("'",$DQ$1,"'!D")&amp;($DR$1+2))</f>
        <v>-2.3349000000000002</v>
      </c>
      <c r="DS9">
        <f ca="1">INDIRECT(CONCATENATE("'",$DQ$1,"'!G")&amp;($DR$1+2))</f>
        <v>0.24010000000000001</v>
      </c>
      <c r="DT9">
        <f ca="1">INDIRECT(CONCATENATE("'",$DQ$1,"'!J")&amp;($DR$1+2))</f>
        <v>0.1452</v>
      </c>
      <c r="DU9">
        <f ca="1">INDIRECT(CONCATENATE("'",$DQ$1,"'!M")&amp;($DR$1+2))</f>
        <v>0.75519999999999998</v>
      </c>
      <c r="ED9" s="6">
        <f>'graft2 exp'!A211</f>
        <v>0</v>
      </c>
      <c r="EE9" s="14">
        <f>'graft2 exp'!$B211</f>
        <v>0.63339999999999996</v>
      </c>
      <c r="EF9" s="14">
        <f>'graft2 exp'!$D211</f>
        <v>0.17080000000000001</v>
      </c>
      <c r="EG9" s="14">
        <f>'graft2 exp'!$F211</f>
        <v>0.1812</v>
      </c>
      <c r="EH9" s="14">
        <f>'graft2 exp'!$H211</f>
        <v>1.46E-2</v>
      </c>
      <c r="EK9" t="s">
        <v>121</v>
      </c>
      <c r="EL9">
        <v>196</v>
      </c>
      <c r="EV9" s="7">
        <f>mgmt!$A221</f>
        <v>0.04</v>
      </c>
      <c r="EW9" s="14">
        <f>mgmt!B221</f>
        <v>0.75229999999999997</v>
      </c>
      <c r="EX9" s="14">
        <f>1.96*mgmt!C221</f>
        <v>0.10485999999999999</v>
      </c>
      <c r="EY9" s="14">
        <f>mgmt!D221</f>
        <v>0.11269999999999999</v>
      </c>
      <c r="EZ9" s="14">
        <f>1.96*mgmt!E221</f>
        <v>8.5456000000000004E-2</v>
      </c>
      <c r="FA9" s="14">
        <f>mgmt!F221</f>
        <v>0.1017</v>
      </c>
      <c r="FB9" s="14">
        <f>1.96*mgmt!G221</f>
        <v>4.802E-2</v>
      </c>
      <c r="FC9" s="14">
        <f>mgmt!H221</f>
        <v>3.32E-2</v>
      </c>
      <c r="FD9" s="14">
        <f>1.96*mgmt!I221</f>
        <v>6.1543999999999995E-2</v>
      </c>
      <c r="FN9" t="s">
        <v>121</v>
      </c>
      <c r="FO9">
        <v>196</v>
      </c>
      <c r="FT9" s="6"/>
      <c r="FU9">
        <f ca="1">INDIRECT(CONCATENATE("'",$FT$1,"'!D")&amp;($FU$1+2))</f>
        <v>1.4456</v>
      </c>
      <c r="FV9">
        <f ca="1">INDIRECT(CONCATENATE("'",$FT$1,"'!G")&amp;($FU$1+2))</f>
        <v>2.1652</v>
      </c>
      <c r="FW9">
        <f ca="1">INDIRECT(CONCATENATE("'",$FT$1,"'!J")&amp;($FU$1+2))</f>
        <v>-1.1161000000000001</v>
      </c>
      <c r="FX9">
        <f ca="1">INDIRECT(CONCATENATE("'",$FT$1,"'!M")&amp;($FU$1+2))</f>
        <v>-1.3956</v>
      </c>
      <c r="GH9" t="s">
        <v>121</v>
      </c>
      <c r="GI9">
        <v>196</v>
      </c>
      <c r="GP9" t="s">
        <v>121</v>
      </c>
      <c r="GQ9">
        <v>196</v>
      </c>
    </row>
    <row r="10" spans="1:202" x14ac:dyDescent="0.25">
      <c r="A10" s="6" t="s">
        <v>120</v>
      </c>
      <c r="B10" s="6" t="str">
        <f ca="1">CONCATENATE("Cluster ",INDIRECT(CONCATENATE("'",$A$1,"'!B")&amp;($B$9-1)))</f>
        <v>Cluster 1</v>
      </c>
      <c r="C10" s="6" t="str">
        <f ca="1">CONCATENATE("Cluster ",INDIRECT(CONCATENATE("'",$A$1,"'!D")&amp;($B$9-1)))</f>
        <v>Cluster 2</v>
      </c>
      <c r="D10" s="6" t="str">
        <f ca="1">CONCATENATE("Cluster ",INDIRECT(CONCATENATE("'",$A$1,"'!F")&amp;($B$9-1)))</f>
        <v>Cluster 3</v>
      </c>
      <c r="E10" s="6" t="str">
        <f ca="1">CONCATENATE("Cluster ",INDIRECT(CONCATENATE("'",$A$1,"'!H")&amp;($B$9-1)))</f>
        <v>Cluster 4</v>
      </c>
      <c r="K10" s="6" t="s">
        <v>120</v>
      </c>
      <c r="L10" s="6" t="str">
        <f ca="1">CONCATENATE("Cluster ",INDIRECT(CONCATENATE("'",$K$1,"'!B")&amp;($L$9-1)))</f>
        <v>Cluster 1</v>
      </c>
      <c r="M10" s="6" t="str">
        <f ca="1">CONCATENATE("Cluster ",INDIRECT(CONCATENATE("'",$K$1,"'!D")&amp;($L$9-1)))</f>
        <v>Cluster 2</v>
      </c>
      <c r="N10" s="6" t="str">
        <f ca="1">CONCATENATE("Cluster ",INDIRECT(CONCATENATE("'",$K$1,"'!F")&amp;($L$9-1)))</f>
        <v>Cluster 3</v>
      </c>
      <c r="O10" s="6" t="str">
        <f ca="1">CONCATENATE("Cluster ",INDIRECT(CONCATENATE("'",$K$1,"'!H")&amp;($L$9-1)))</f>
        <v>Cluster 4</v>
      </c>
      <c r="S10" s="6">
        <f ca="1">INDIRECT(CONCATENATE("'",$S$1,"'!A")&amp;($V$1+T10))</f>
        <v>6472</v>
      </c>
      <c r="T10" s="6">
        <v>3</v>
      </c>
      <c r="U10">
        <f ca="1">INDIRECT(CONCATENATE("'",$S$1,"'!B")&amp;($V$1+T10))</f>
        <v>-8.6146999999999991</v>
      </c>
      <c r="V10">
        <f ca="1">INDIRECT(CONCATENATE("'",$S$1,"'!E")&amp;($V$1+T10))</f>
        <v>-7.9137000000000004</v>
      </c>
      <c r="W10">
        <f ca="1">INDIRECT(CONCATENATE("'",$S$1,"'!H")&amp;($V$1+T10))</f>
        <v>-8.7423999999999999</v>
      </c>
      <c r="X10">
        <f ca="1">INDIRECT(CONCATENATE("'",$S$1,"'!K")&amp;($V$1+T10))</f>
        <v>25.270800000000001</v>
      </c>
      <c r="AO10" s="6" t="s">
        <v>120</v>
      </c>
      <c r="AP10" s="6" t="str">
        <f ca="1">CONCATENATE("Cluster ",INDIRECT(CONCATENATE("'",$AO$1,"'!B")&amp;($AP$9-1)))</f>
        <v>Cluster 1</v>
      </c>
      <c r="AQ10" s="6" t="str">
        <f ca="1">CONCATENATE("Cluster ",INDIRECT(CONCATENATE("'",$AO$1,"'!D")&amp;($AP$9-1)))</f>
        <v>Cluster 2</v>
      </c>
      <c r="AR10" s="6" t="str">
        <f ca="1">CONCATENATE("Cluster ",INDIRECT(CONCATENATE("'",$AO$1,"'!F")&amp;($AP$9-1)))</f>
        <v>Cluster 3</v>
      </c>
      <c r="AS10" s="6" t="str">
        <f ca="1">CONCATENATE("Cluster ",INDIRECT(CONCATENATE("'",$AO$1,"'!H")&amp;($AP$9-1)))</f>
        <v>Cluster 4</v>
      </c>
      <c r="AW10" s="6" t="s">
        <v>120</v>
      </c>
      <c r="AX10" s="6" t="str">
        <f ca="1">CONCATENATE("Cluster ",INDIRECT(CONCATENATE("'",$AW$1,"'!B")&amp;($AX$9-1)))</f>
        <v>Cluster 1</v>
      </c>
      <c r="AY10" s="6" t="str">
        <f ca="1">CONCATENATE("Cluster ",INDIRECT(CONCATENATE("'",$AW$1,"'!D")&amp;($AX$9-1)))</f>
        <v>Cluster 2</v>
      </c>
      <c r="AZ10" s="6" t="str">
        <f ca="1">CONCATENATE("Cluster ",INDIRECT(CONCATENATE("'",$AW$1,"'!F")&amp;($AX$9-1)))</f>
        <v>Cluster 3</v>
      </c>
      <c r="BA10" s="6" t="str">
        <f ca="1">CONCATENATE("Cluster ",INDIRECT(CONCATENATE("'",$AW$1,"'!H")&amp;($AX$9-1)))</f>
        <v>Cluster 4</v>
      </c>
      <c r="BH10" s="6">
        <f>b2a!$A246</f>
        <v>0</v>
      </c>
      <c r="BI10" s="14">
        <f>b2a!$B246</f>
        <v>0.45929999999999999</v>
      </c>
      <c r="BJ10" s="14">
        <f>b2a!$D246</f>
        <v>0.182</v>
      </c>
      <c r="BK10" s="14">
        <f>b2a!$F246</f>
        <v>0.29730000000000001</v>
      </c>
      <c r="BL10" s="14">
        <f>b2a!$H246</f>
        <v>6.1400000000000003E-2</v>
      </c>
      <c r="BZ10" s="6" t="s">
        <v>120</v>
      </c>
      <c r="CA10" s="6" t="str">
        <f ca="1">INDIRECT(CONCATENATE("'",$BH$1,"'!B")&amp;($BI$1-2))</f>
        <v>Cluster1</v>
      </c>
      <c r="CB10" s="6" t="str">
        <f ca="1">INDIRECT(CONCATENATE("'",$BH$1,"'!E")&amp;($BI$1-2))</f>
        <v>Cluster2</v>
      </c>
      <c r="CC10" s="6" t="str">
        <f ca="1">INDIRECT(CONCATENATE("'",$BH$1,"'!H")&amp;($BI$1-2))</f>
        <v>Cluster3</v>
      </c>
      <c r="CD10" s="6" t="str">
        <f ca="1">INDIRECT(CONCATENATE("'",$BH$1,"'!K")&amp;($BI$1-2))</f>
        <v>Cluster4</v>
      </c>
      <c r="CF10" s="6" t="s">
        <v>120</v>
      </c>
      <c r="CG10" s="6" t="str">
        <f ca="1">CONCATENATE("Cluster ",INDIRECT(CONCATENATE("'",$CF$1,"'!B")&amp;($CG$9-1)))</f>
        <v>Cluster 1</v>
      </c>
      <c r="CH10" s="6" t="str">
        <f ca="1">CONCATENATE("Cluster ",INDIRECT(CONCATENATE("'",$CF$1,"'!D")&amp;($CG$9-1)))</f>
        <v>Cluster 2</v>
      </c>
      <c r="CI10" s="6" t="str">
        <f ca="1">CONCATENATE("Cluster ",INDIRECT(CONCATENATE("'",$CF$1,"'!F")&amp;($CG$9-1)))</f>
        <v>Cluster 3</v>
      </c>
      <c r="CJ10" s="6" t="str">
        <f ca="1">CONCATENATE("Cluster ",INDIRECT(CONCATENATE("'",$CF$1,"'!H")&amp;($CG$9-1)))</f>
        <v>Cluster 4</v>
      </c>
      <c r="CN10" s="6" t="s">
        <v>120</v>
      </c>
      <c r="CO10" s="6" t="str">
        <f ca="1">INDIRECT(CONCATENATE("'",$BH$1,"'!B")&amp;($BI$1-2))</f>
        <v>Cluster1</v>
      </c>
      <c r="CP10" s="6" t="str">
        <f ca="1">INDIRECT(CONCATENATE("'",$BH$1,"'!E")&amp;($BI$1-2))</f>
        <v>Cluster2</v>
      </c>
      <c r="CQ10" s="6" t="str">
        <f ca="1">INDIRECT(CONCATENATE("'",$BH$1,"'!H")&amp;($BI$1-2))</f>
        <v>Cluster3</v>
      </c>
      <c r="CR10" s="6" t="str">
        <f ca="1">INDIRECT(CONCATENATE("'",$BH$1,"'!K")&amp;($BI$1-2))</f>
        <v>Cluster4</v>
      </c>
      <c r="CU10" s="6"/>
      <c r="DI10" s="6" t="s">
        <v>120</v>
      </c>
      <c r="DJ10" s="6" t="str">
        <f ca="1">CONCATENATE("Cluster ",INDIRECT(CONCATENATE("'",$DI$1,"'!B")&amp;($DJ$9-1)))</f>
        <v>Cluster 1</v>
      </c>
      <c r="DK10" s="6" t="str">
        <f ca="1">CONCATENATE("Cluster ",INDIRECT(CONCATENATE("'",$DI$1,"'!D")&amp;($DJ$9-1)))</f>
        <v>Cluster 2</v>
      </c>
      <c r="DL10" s="6" t="str">
        <f ca="1">CONCATENATE("Cluster ",INDIRECT(CONCATENATE("'",$DI$1,"'!F")&amp;($DJ$9-1)))</f>
        <v>Cluster 3</v>
      </c>
      <c r="DM10" s="6" t="str">
        <f ca="1">CONCATENATE("Cluster ",INDIRECT(CONCATENATE("'",$DI$1,"'!H")&amp;($DJ$9-1)))</f>
        <v>Cluster 4</v>
      </c>
      <c r="ED10" s="6">
        <f>'graft2 exp'!A212</f>
        <v>14.29</v>
      </c>
      <c r="EE10" s="14">
        <f>'graft2 exp'!$B212</f>
        <v>0.63949999999999996</v>
      </c>
      <c r="EF10" s="14">
        <f>'graft2 exp'!$D212</f>
        <v>0.1658</v>
      </c>
      <c r="EG10" s="14">
        <f>'graft2 exp'!$F212</f>
        <v>0.1782</v>
      </c>
      <c r="EH10" s="14">
        <f>'graft2 exp'!$H212</f>
        <v>1.6500000000000001E-2</v>
      </c>
      <c r="EK10" s="6" t="s">
        <v>120</v>
      </c>
      <c r="EL10" s="6" t="str">
        <f ca="1">CONCATENATE("Cluster ",INDIRECT(CONCATENATE("'",$EK$1,"'!B")&amp;($EL$9-1)))</f>
        <v>Cluster 1</v>
      </c>
      <c r="EM10" s="6" t="str">
        <f ca="1">CONCATENATE("Cluster ",INDIRECT(CONCATENATE("'",$EK$1,"'!D")&amp;($EL$9-1)))</f>
        <v>Cluster 2</v>
      </c>
      <c r="EN10" s="6" t="str">
        <f ca="1">CONCATENATE("Cluster ",INDIRECT(CONCATENATE("'",$EK$1,"'!F")&amp;($EL$9-1)))</f>
        <v>Cluster 3</v>
      </c>
      <c r="EO10" s="6" t="str">
        <f ca="1">CONCATENATE("Cluster ",INDIRECT(CONCATENATE("'",$EK$1,"'!H")&amp;($EL$9-1)))</f>
        <v>Cluster 4</v>
      </c>
      <c r="EV10" s="7">
        <f>mgmt!$A222</f>
        <v>6.6600000000000006E-2</v>
      </c>
      <c r="EW10" s="14">
        <f>mgmt!B222</f>
        <v>0.74829999999999997</v>
      </c>
      <c r="EX10" s="14">
        <f>1.96*mgmt!C222</f>
        <v>0.100156</v>
      </c>
      <c r="EY10" s="14">
        <f>mgmt!D222</f>
        <v>0.1153</v>
      </c>
      <c r="EZ10" s="14">
        <f>1.96*mgmt!E222</f>
        <v>8.2907999999999996E-2</v>
      </c>
      <c r="FA10" s="14">
        <f>mgmt!F222</f>
        <v>0.10440000000000001</v>
      </c>
      <c r="FB10" s="14">
        <f>1.96*mgmt!G222</f>
        <v>4.7039999999999998E-2</v>
      </c>
      <c r="FC10" s="14">
        <f>mgmt!H222</f>
        <v>3.1899999999999998E-2</v>
      </c>
      <c r="FD10" s="14">
        <f>1.96*mgmt!I222</f>
        <v>5.6251999999999996E-2</v>
      </c>
      <c r="FN10" s="6" t="s">
        <v>120</v>
      </c>
      <c r="FO10" s="6" t="str">
        <f ca="1">CONCATENATE("Cluster ",INDIRECT(CONCATENATE("'",$FN$1,"'!B")&amp;($FO$9-1)))</f>
        <v>Cluster 1</v>
      </c>
      <c r="FP10" s="6" t="str">
        <f ca="1">CONCATENATE("Cluster ",INDIRECT(CONCATENATE("'",$FN$1,"'!D")&amp;($FO$9-1)))</f>
        <v>Cluster 2</v>
      </c>
      <c r="FQ10" s="6" t="str">
        <f ca="1">CONCATENATE("Cluster ",INDIRECT(CONCATENATE("'",$FN$1,"'!F")&amp;($FO$9-1)))</f>
        <v>Cluster 3</v>
      </c>
      <c r="FR10" s="6" t="str">
        <f ca="1">CONCATENATE("Cluster ",INDIRECT(CONCATENATE("'",$FN$1,"'!H")&amp;($FO$9-1)))</f>
        <v>Cluster 4</v>
      </c>
      <c r="FT10" s="6" t="str">
        <f ca="1">INDIRECT(CONCATENATE("'",$FT$1,"'!A")&amp;($FU$1+3))</f>
        <v>Limited partnership</v>
      </c>
      <c r="FU10">
        <f ca="1">INDIRECT(CONCATENATE("'",$FT$1,"'!B")&amp;($FU$1+3))</f>
        <v>-2.87E-2</v>
      </c>
      <c r="FV10">
        <f ca="1">INDIRECT(CONCATENATE("'",$FT$1,"'!E")&amp;($FU$1+3))</f>
        <v>-3.78E-2</v>
      </c>
      <c r="FW10">
        <f ca="1">INDIRECT(CONCATENATE("'",$FT$1,"'!H")&amp;($FU$1+3))</f>
        <v>0.12590000000000001</v>
      </c>
      <c r="FX10">
        <f ca="1">INDIRECT(CONCATENATE("'",$FT$1,"'!K")&amp;($FU$1+3))</f>
        <v>-5.9400000000000001E-2</v>
      </c>
      <c r="GH10" s="6" t="s">
        <v>120</v>
      </c>
      <c r="GI10" s="6" t="str">
        <f ca="1">CONCATENATE("Cluster ",INDIRECT(CONCATENATE("'",$GH$1,"'!B")&amp;($GI$9-1)))</f>
        <v>Cluster 1</v>
      </c>
      <c r="GJ10" s="6" t="str">
        <f ca="1">CONCATENATE("Cluster ",INDIRECT(CONCATENATE("'",$GH$1,"'!D")&amp;($GI$9-1)))</f>
        <v>Cluster 2</v>
      </c>
      <c r="GK10" s="6" t="str">
        <f ca="1">CONCATENATE("Cluster ",INDIRECT(CONCATENATE("'",$GH$1,"'!F")&amp;($GI$9-1)))</f>
        <v>Cluster 3</v>
      </c>
      <c r="GL10" s="6" t="str">
        <f ca="1">CONCATENATE("Cluster ",INDIRECT(CONCATENATE("'",$GH$1,"'!H")&amp;($GI$9-1)))</f>
        <v>Cluster 4</v>
      </c>
      <c r="GM10" s="6"/>
      <c r="GN10" s="6"/>
      <c r="GO10" s="6"/>
      <c r="GP10" s="6" t="s">
        <v>120</v>
      </c>
      <c r="GQ10" s="6" t="str">
        <f ca="1">CONCATENATE("Cluster ",INDIRECT(CONCATENATE("'",$GP$1,"'!B")&amp;($GQ$9-1)))</f>
        <v>Cluster 1</v>
      </c>
      <c r="GR10" s="6" t="str">
        <f ca="1">CONCATENATE("Cluster ",INDIRECT(CONCATENATE("'",$GP$1,"'!D")&amp;($GQ$9-1)))</f>
        <v>Cluster 2</v>
      </c>
      <c r="GS10" s="6" t="str">
        <f ca="1">CONCATENATE("Cluster ",INDIRECT(CONCATENATE("'",$GP$1,"'!F")&amp;($GQ$9-1)))</f>
        <v>Cluster 3</v>
      </c>
      <c r="GT10" s="6" t="str">
        <f ca="1">CONCATENATE("Cluster ",INDIRECT(CONCATENATE("'",$GP$1,"'!H")&amp;($GQ$9-1)))</f>
        <v>Cluster 4</v>
      </c>
    </row>
    <row r="11" spans="1:202" x14ac:dyDescent="0.25">
      <c r="B11" s="6" t="s">
        <v>290</v>
      </c>
      <c r="C11" s="6" t="s">
        <v>291</v>
      </c>
      <c r="D11" s="6" t="s">
        <v>292</v>
      </c>
      <c r="E11" s="6" t="s">
        <v>293</v>
      </c>
      <c r="L11" s="6" t="s">
        <v>290</v>
      </c>
      <c r="M11" s="6" t="s">
        <v>291</v>
      </c>
      <c r="N11" s="6" t="s">
        <v>292</v>
      </c>
      <c r="O11" s="6" t="s">
        <v>293</v>
      </c>
      <c r="S11" s="6"/>
      <c r="T11" s="6"/>
      <c r="U11">
        <f ca="1">INDIRECT(CONCATENATE("'",$S$1,"'!D")&amp;($V$1+T10))</f>
        <v>-24.8977</v>
      </c>
      <c r="V11">
        <f ca="1">INDIRECT(CONCATENATE("'",$S$1,"'!G")&amp;($V$1+T10))</f>
        <v>-18.734000000000002</v>
      </c>
      <c r="W11">
        <f ca="1">INDIRECT(CONCATENATE("'",$S$1,"'!J")&amp;($V$1+T10))</f>
        <v>-17.663799999999998</v>
      </c>
      <c r="X11">
        <f ca="1">INDIRECT(CONCATENATE("'",$S$1,"'!M")&amp;($V$1+T10))</f>
        <v>33.881799999999998</v>
      </c>
      <c r="AP11" s="6" t="s">
        <v>290</v>
      </c>
      <c r="AQ11" s="6" t="s">
        <v>291</v>
      </c>
      <c r="AR11" s="6" t="s">
        <v>292</v>
      </c>
      <c r="AS11" s="6" t="s">
        <v>293</v>
      </c>
      <c r="AX11" s="6" t="s">
        <v>290</v>
      </c>
      <c r="AY11" s="6" t="s">
        <v>291</v>
      </c>
      <c r="AZ11" s="6" t="s">
        <v>292</v>
      </c>
      <c r="BA11" s="6" t="s">
        <v>293</v>
      </c>
      <c r="BH11" s="6">
        <f>b2a!A247</f>
        <v>1</v>
      </c>
      <c r="BI11" s="14">
        <f>b2a!B247</f>
        <v>0.4617</v>
      </c>
      <c r="BJ11" s="14">
        <f>b2a!D247</f>
        <v>0.182</v>
      </c>
      <c r="BK11" s="14">
        <f>b2a!F247</f>
        <v>0.29570000000000002</v>
      </c>
      <c r="BL11" s="14">
        <f>b2a!H247</f>
        <v>6.0499999999999998E-2</v>
      </c>
      <c r="BZ11" s="6">
        <f>b4a!$A218</f>
        <v>0</v>
      </c>
      <c r="CA11" s="14">
        <f>b4a!$B218</f>
        <v>0.64859999999999995</v>
      </c>
      <c r="CB11" s="14">
        <f>b4a!$D218</f>
        <v>0.1759</v>
      </c>
      <c r="CC11" s="14">
        <f>b4a!$F218</f>
        <v>0.1575</v>
      </c>
      <c r="CD11" s="14">
        <f>b4a!$H218</f>
        <v>1.8100000000000002E-2</v>
      </c>
      <c r="CF11" s="6">
        <f ca="1">INDIRECT(CONCATENATE("'",$CF$1,"'!A")&amp;($CG$9))</f>
        <v>0</v>
      </c>
      <c r="CG11">
        <f ca="1">INDIRECT(CONCATENATE("'",$CF$1,"'!B")&amp;($CG$9))</f>
        <v>0.64729999999999999</v>
      </c>
      <c r="CH11">
        <f ca="1">INDIRECT(CONCATENATE("'",$CF$1,"'!D")&amp;($CG$9))</f>
        <v>0.1701</v>
      </c>
      <c r="CI11">
        <f ca="1">INDIRECT(CONCATENATE("'",$CF$1,"'!F")&amp;($CG$9))</f>
        <v>0.16589999999999999</v>
      </c>
      <c r="CJ11">
        <f ca="1">INDIRECT(CONCATENATE("'",$CF$1,"'!H")&amp;($CG$9))</f>
        <v>1.6799999999999999E-2</v>
      </c>
      <c r="CN11" s="6" t="str">
        <f>'b7'!$A220</f>
        <v>One year or less</v>
      </c>
      <c r="CO11" s="14">
        <f>'b7'!$B220</f>
        <v>0.61360000000000003</v>
      </c>
      <c r="CP11" s="14">
        <f>'b7'!$D220</f>
        <v>0.2031</v>
      </c>
      <c r="CQ11" s="14">
        <f>'b7'!$F220</f>
        <v>0.1709</v>
      </c>
      <c r="CR11" s="14">
        <f>'b7'!$H220</f>
        <v>1.2500000000000001E-2</v>
      </c>
      <c r="CU11" t="s">
        <v>121</v>
      </c>
      <c r="CV11">
        <v>200</v>
      </c>
      <c r="DI11" s="6">
        <f ca="1">INDIRECT(CONCATENATE("'",$DI$1,"'!A")&amp;($DJ$9))</f>
        <v>0</v>
      </c>
      <c r="DJ11">
        <f ca="1">INDIRECT(CONCATENATE("'",$DI$1,"'!B")&amp;($DJ$9))</f>
        <v>0.67130000000000001</v>
      </c>
      <c r="DK11">
        <f ca="1">INDIRECT(CONCATENATE("'",$DI$1,"'!D")&amp;($DJ$9))</f>
        <v>0.16850000000000001</v>
      </c>
      <c r="DL11">
        <f ca="1">INDIRECT(CONCATENATE("'",$DI$1,"'!F")&amp;($DJ$9))</f>
        <v>0.1444</v>
      </c>
      <c r="DM11">
        <f ca="1">INDIRECT(CONCATENATE("'",$DI$1,"'!H")&amp;($DJ$9))</f>
        <v>1.5800000000000002E-2</v>
      </c>
      <c r="ED11" s="6">
        <f>'graft2 exp'!A213</f>
        <v>16.670000000000002</v>
      </c>
      <c r="EE11" s="14">
        <f>'graft2 exp'!$B213</f>
        <v>0.64049999999999996</v>
      </c>
      <c r="EF11" s="14">
        <f>'graft2 exp'!$D213</f>
        <v>0.16500000000000001</v>
      </c>
      <c r="EG11" s="14">
        <f>'graft2 exp'!$F213</f>
        <v>0.1777</v>
      </c>
      <c r="EH11" s="14">
        <f>'graft2 exp'!$H213</f>
        <v>1.6799999999999999E-2</v>
      </c>
      <c r="EK11" s="6">
        <f ca="1">INDIRECT(CONCATENATE("'",$EK$1,"'!A")&amp;($EL$9))</f>
        <v>0</v>
      </c>
      <c r="EL11">
        <f ca="1">INDIRECT(CONCATENATE("'",$EK$1,"'!B")&amp;($EL$9))</f>
        <v>0.64290000000000003</v>
      </c>
      <c r="EM11">
        <f ca="1">INDIRECT(CONCATENATE("'",$EK$1,"'!D")&amp;($EL$9))</f>
        <v>0.17</v>
      </c>
      <c r="EN11">
        <f ca="1">INDIRECT(CONCATENATE("'",$EK$1,"'!F")&amp;($EL$9))</f>
        <v>0.1739</v>
      </c>
      <c r="EO11">
        <f ca="1">INDIRECT(CONCATENATE("'",$EK$1,"'!H")&amp;($EL$9))</f>
        <v>1.32E-2</v>
      </c>
      <c r="EV11" s="7">
        <f>mgmt!$A223</f>
        <v>0.08</v>
      </c>
      <c r="EW11" s="14">
        <f>mgmt!B223</f>
        <v>0.74619999999999997</v>
      </c>
      <c r="EX11" s="14">
        <f>1.96*mgmt!C223</f>
        <v>9.7804000000000002E-2</v>
      </c>
      <c r="EY11" s="14">
        <f>mgmt!D223</f>
        <v>0.1167</v>
      </c>
      <c r="EZ11" s="14">
        <f>1.96*mgmt!E223</f>
        <v>8.1535999999999997E-2</v>
      </c>
      <c r="FA11" s="14">
        <f>mgmt!F223</f>
        <v>0.10580000000000001</v>
      </c>
      <c r="FB11" s="14">
        <f>1.96*mgmt!G223</f>
        <v>4.6452E-2</v>
      </c>
      <c r="FC11" s="14">
        <f>mgmt!H223</f>
        <v>3.1300000000000001E-2</v>
      </c>
      <c r="FD11" s="14">
        <f>1.96*mgmt!I223</f>
        <v>5.3704000000000002E-2</v>
      </c>
      <c r="FN11" s="6" t="str">
        <f ca="1">INDIRECT(CONCATENATE("'",$FN$1,"'!A")&amp;($FO$9))</f>
        <v>Yes</v>
      </c>
      <c r="FO11">
        <f ca="1">INDIRECT(CONCATENATE("'",$FN$1,"'!B")&amp;($FO$9))</f>
        <v>0.60750000000000004</v>
      </c>
      <c r="FP11">
        <f ca="1">INDIRECT(CONCATENATE("'",$FN$1,"'!D")&amp;($FO$9))</f>
        <v>0.1966</v>
      </c>
      <c r="FQ11">
        <f ca="1">INDIRECT(CONCATENATE("'",$FN$1,"'!F")&amp;($FO$9))</f>
        <v>0.1741</v>
      </c>
      <c r="FR11">
        <f ca="1">INDIRECT(CONCATENATE("'",$FN$1,"'!H")&amp;($FO$9))</f>
        <v>2.18E-2</v>
      </c>
      <c r="FT11" s="6"/>
      <c r="FU11">
        <f ca="1">INDIRECT(CONCATENATE("'",$FT$1,"'!D")&amp;($FU$1+3))</f>
        <v>-0.21390000000000001</v>
      </c>
      <c r="FV11">
        <f ca="1">INDIRECT(CONCATENATE("'",$FT$1,"'!G")&amp;($FU$1+3))</f>
        <v>-0.20499999999999999</v>
      </c>
      <c r="FW11">
        <f ca="1">INDIRECT(CONCATENATE("'",$FT$1,"'!J")&amp;($FU$1+3))</f>
        <v>0.75770000000000004</v>
      </c>
      <c r="FX11">
        <f ca="1">INDIRECT(CONCATENATE("'",$FT$1,"'!M")&amp;($FU$1+3))</f>
        <v>-0.1963</v>
      </c>
      <c r="GH11" s="6" t="str">
        <f ca="1">INDIRECT(CONCATENATE("'",$GH$1,"'!A")&amp;($GI$9))</f>
        <v>Yes</v>
      </c>
      <c r="GI11">
        <f ca="1">INDIRECT(CONCATENATE("'",$GH$1,"'!B")&amp;($GI$9))</f>
        <v>0.63719999999999999</v>
      </c>
      <c r="GJ11">
        <f ca="1">INDIRECT(CONCATENATE("'",$GH$1,"'!D")&amp;($GI$9))</f>
        <v>0.1769</v>
      </c>
      <c r="GK11">
        <f ca="1">INDIRECT(CONCATENATE("'",$GH$1,"'!F")&amp;($GI$9))</f>
        <v>0.1704</v>
      </c>
      <c r="GL11">
        <f ca="1">INDIRECT(CONCATENATE("'",$GH$1,"'!H")&amp;($GI$9))</f>
        <v>1.5599999999999999E-2</v>
      </c>
      <c r="GP11" s="6">
        <f ca="1">INDIRECT(CONCATENATE("'",$GP$1,"'!A")&amp;($GQ$9))</f>
        <v>0</v>
      </c>
      <c r="GQ11">
        <f ca="1">INDIRECT(CONCATENATE("'",$GP$1,"'!B")&amp;($GQ$9))</f>
        <v>0.65339999999999998</v>
      </c>
      <c r="GR11">
        <f ca="1">INDIRECT(CONCATENATE("'",$GP$1,"'!D")&amp;($GQ$9))</f>
        <v>0.16209999999999999</v>
      </c>
      <c r="GS11">
        <f ca="1">INDIRECT(CONCATENATE("'",$GP$1,"'!F")&amp;($GQ$9))</f>
        <v>0.16719999999999999</v>
      </c>
      <c r="GT11">
        <f ca="1">INDIRECT(CONCATENATE("'",$GP$1,"'!H")&amp;($GQ$9))</f>
        <v>1.7299999999999999E-2</v>
      </c>
    </row>
    <row r="12" spans="1:202" x14ac:dyDescent="0.25">
      <c r="A12" s="6" t="str">
        <f ca="1">INDIRECT(CONCATENATE("'",$A$1,"'!A")&amp;($B$9))</f>
        <v>Yes</v>
      </c>
      <c r="B12" s="9">
        <f ca="1">INDIRECT(CONCATENATE("'",$A$1,"'!B")&amp;($B$9))</f>
        <v>0.60980000000000001</v>
      </c>
      <c r="C12" s="9">
        <f ca="1">INDIRECT(CONCATENATE("'",$A$1,"'!D")&amp;($B$9))</f>
        <v>0.19570000000000001</v>
      </c>
      <c r="D12" s="9">
        <f ca="1">INDIRECT(CONCATENATE("'",$A$1,"'!F")&amp;($B$9))</f>
        <v>0.17430000000000001</v>
      </c>
      <c r="E12" s="9">
        <f ca="1">INDIRECT(CONCATENATE("'",$A$1,"'!H")&amp;($B$9))</f>
        <v>2.0199999999999999E-2</v>
      </c>
      <c r="K12" s="6" t="str">
        <f ca="1">INDIRECT(CONCATENATE("'",$K$1,"'!A")&amp;($L$9))</f>
        <v>Yes</v>
      </c>
      <c r="L12" s="9">
        <f ca="1">INDIRECT(CONCATENATE("'",$K$1,"'!B")&amp;($L$9))</f>
        <v>0.61550000000000005</v>
      </c>
      <c r="M12" s="9">
        <f ca="1">INDIRECT(CONCATENATE("'",$K$1,"'!D")&amp;($L$9))</f>
        <v>0.18770000000000001</v>
      </c>
      <c r="N12" s="9">
        <f ca="1">INDIRECT(CONCATENATE("'",$K$1,"'!F")&amp;($L$9))</f>
        <v>0.17299999999999999</v>
      </c>
      <c r="O12" s="9">
        <f ca="1">INDIRECT(CONCATENATE("'",$K$1,"'!H")&amp;($L$9))</f>
        <v>2.3900000000000001E-2</v>
      </c>
      <c r="S12" s="6">
        <f ca="1">INDIRECT(CONCATENATE("'",$S$1,"'!A")&amp;($V$1+T12))</f>
        <v>171819</v>
      </c>
      <c r="T12" s="6">
        <v>4</v>
      </c>
      <c r="U12">
        <f ca="1">INDIRECT(CONCATENATE("'",$S$1,"'!B")&amp;($V$1+T12))</f>
        <v>-8.0358000000000001</v>
      </c>
      <c r="V12">
        <f ca="1">INDIRECT(CONCATENATE("'",$S$1,"'!E")&amp;($V$1+T12))</f>
        <v>-7.9409999999999998</v>
      </c>
      <c r="W12">
        <f ca="1">INDIRECT(CONCATENATE("'",$S$1,"'!H")&amp;($V$1+T12))</f>
        <v>-8.1744000000000003</v>
      </c>
      <c r="X12">
        <f ca="1">INDIRECT(CONCATENATE("'",$S$1,"'!K")&amp;($V$1+T12))</f>
        <v>24.151299999999999</v>
      </c>
      <c r="AO12" s="6" t="s">
        <v>297</v>
      </c>
      <c r="AP12" s="9">
        <f ca="1">INDIRECT(CONCATENATE("'",$AO$1,"'!B")&amp;($AP$9))</f>
        <v>0.66800000000000004</v>
      </c>
      <c r="AQ12" s="9">
        <f ca="1">INDIRECT(CONCATENATE("'",$AO$1,"'!D")&amp;($AP$9))</f>
        <v>0.16270000000000001</v>
      </c>
      <c r="AR12" s="9">
        <f ca="1">INDIRECT(CONCATENATE("'",$AO$1,"'!F")&amp;($AP$9))</f>
        <v>0.15310000000000001</v>
      </c>
      <c r="AS12" s="9">
        <f ca="1">INDIRECT(CONCATENATE("'",$AO$1,"'!H")&amp;($AP$9))</f>
        <v>1.6199999999999999E-2</v>
      </c>
      <c r="AW12" s="6" t="s">
        <v>295</v>
      </c>
      <c r="AX12" s="9">
        <f ca="1">INDIRECT(CONCATENATE("'",$AW$1,"'!B")&amp;($AX$9))</f>
        <v>0.66890000000000005</v>
      </c>
      <c r="AY12" s="9">
        <f ca="1">INDIRECT(CONCATENATE("'",$AW$1,"'!D")&amp;($AX$9))</f>
        <v>0.15840000000000001</v>
      </c>
      <c r="AZ12" s="9">
        <f ca="1">INDIRECT(CONCATENATE("'",$AW$1,"'!F")&amp;($AX$9))</f>
        <v>0.1583</v>
      </c>
      <c r="BA12" s="9">
        <f ca="1">INDIRECT(CONCATENATE("'",$AW$1,"'!H")&amp;($AX$9))</f>
        <v>1.44E-2</v>
      </c>
      <c r="BH12" s="6">
        <f>b2a!A248</f>
        <v>2</v>
      </c>
      <c r="BI12" s="14">
        <f>b2a!B248</f>
        <v>0.46400000000000002</v>
      </c>
      <c r="BJ12" s="14">
        <f>b2a!D248</f>
        <v>0.18210000000000001</v>
      </c>
      <c r="BK12" s="14">
        <f>b2a!F248</f>
        <v>0.29409999999999997</v>
      </c>
      <c r="BL12" s="14">
        <f>b2a!H248</f>
        <v>5.9700000000000003E-2</v>
      </c>
      <c r="BZ12" s="6">
        <f>b4a!$A219</f>
        <v>1</v>
      </c>
      <c r="CA12" s="14">
        <f>b4a!$B219</f>
        <v>0.64910000000000001</v>
      </c>
      <c r="CB12" s="14">
        <f>b4a!$D219</f>
        <v>0.17549999999999999</v>
      </c>
      <c r="CC12" s="14">
        <f>b4a!$F219</f>
        <v>0.15740000000000001</v>
      </c>
      <c r="CD12" s="14">
        <f>b4a!$H219</f>
        <v>1.7999999999999999E-2</v>
      </c>
      <c r="CF12" s="6"/>
      <c r="CG12">
        <f ca="1">INDIRECT(CONCATENATE("'",$CF$1,"'!C")&amp;($CG$9))</f>
        <v>2.06E-2</v>
      </c>
      <c r="CH12">
        <f ca="1">INDIRECT(CONCATENATE("'",$CF$1,"'!E")&amp;($CG$9))</f>
        <v>1.7500000000000002E-2</v>
      </c>
      <c r="CI12">
        <f ca="1">INDIRECT(CONCATENATE("'",$CF$1,"'!G")&amp;($CG$9))</f>
        <v>1.55E-2</v>
      </c>
      <c r="CJ12">
        <f ca="1">INDIRECT(CONCATENATE("'",$CF$1,"'!I")&amp;($CG$9))</f>
        <v>4.7999999999999996E-3</v>
      </c>
      <c r="CN12" s="6">
        <f>'b7'!$A221</f>
        <v>2</v>
      </c>
      <c r="CO12" s="14">
        <f>'b7'!$B221</f>
        <v>0.61560000000000004</v>
      </c>
      <c r="CP12" s="14">
        <f>'b7'!$D221</f>
        <v>0.2014</v>
      </c>
      <c r="CQ12" s="14">
        <f>'b7'!$F221</f>
        <v>0.1704</v>
      </c>
      <c r="CR12" s="14">
        <f>'b7'!$H221</f>
        <v>1.2699999999999999E-2</v>
      </c>
      <c r="CU12" s="6" t="s">
        <v>120</v>
      </c>
      <c r="CV12" s="6" t="str">
        <f ca="1">CONCATENATE("Cluster ",INDIRECT(CONCATENATE("'",$CU$1,"'!B")&amp;($CV$11-1)))</f>
        <v>Cluster 1</v>
      </c>
      <c r="CW12" s="6" t="str">
        <f ca="1">CONCATENATE("Cluster ",INDIRECT(CONCATENATE("'",$CU$1,"'!D")&amp;($CV$11-1)))</f>
        <v>Cluster 2</v>
      </c>
      <c r="CX12" s="6" t="str">
        <f ca="1">CONCATENATE("Cluster ",INDIRECT(CONCATENATE("'",$CU$1,"'!F")&amp;($CV$11-1)))</f>
        <v>Cluster 3</v>
      </c>
      <c r="CY12" s="6" t="str">
        <f ca="1">CONCATENATE("Cluster ",INDIRECT(CONCATENATE("'",$CU$1,"'!H")&amp;($CV$11-1)))</f>
        <v>Cluster 4</v>
      </c>
      <c r="DI12" s="6"/>
      <c r="DJ12">
        <f ca="1">INDIRECT(CONCATENATE("'",$DI$1,"'!C")&amp;($DJ$9))</f>
        <v>3.3300000000000003E-2</v>
      </c>
      <c r="DK12">
        <f ca="1">INDIRECT(CONCATENATE("'",$DI$1,"'!E")&amp;($DJ$9))</f>
        <v>2.98E-2</v>
      </c>
      <c r="DL12">
        <f ca="1">INDIRECT(CONCATENATE("'",$DI$1,"'!G")&amp;($DJ$9))</f>
        <v>2.3800000000000002E-2</v>
      </c>
      <c r="DM12">
        <f ca="1">INDIRECT(CONCATENATE("'",$DI$1,"'!I")&amp;($DJ$9))</f>
        <v>8.3999999999999995E-3</v>
      </c>
      <c r="DQ12" t="s">
        <v>121</v>
      </c>
      <c r="DR12">
        <v>200</v>
      </c>
      <c r="ED12" s="6">
        <f>'graft2 exp'!A214</f>
        <v>20</v>
      </c>
      <c r="EE12" s="14">
        <f>'graft2 exp'!$B214</f>
        <v>0.64190000000000003</v>
      </c>
      <c r="EF12" s="14">
        <f>'graft2 exp'!$D214</f>
        <v>0.1638</v>
      </c>
      <c r="EG12" s="14">
        <f>'graft2 exp'!$F214</f>
        <v>0.17699999999999999</v>
      </c>
      <c r="EH12" s="14">
        <f>'graft2 exp'!$H214</f>
        <v>1.7299999999999999E-2</v>
      </c>
      <c r="EK12" s="6"/>
      <c r="EL12">
        <f ca="1">INDIRECT(CONCATENATE("'",$EK$1,"'!C")&amp;($EL$9))</f>
        <v>2.41E-2</v>
      </c>
      <c r="EM12">
        <f ca="1">INDIRECT(CONCATENATE("'",$EK$1,"'!E")&amp;($EL$9))</f>
        <v>2.06E-2</v>
      </c>
      <c r="EN12">
        <f ca="1">INDIRECT(CONCATENATE("'",$EK$1,"'!G")&amp;($EL$9))</f>
        <v>1.7999999999999999E-2</v>
      </c>
      <c r="EO12">
        <f ca="1">INDIRECT(CONCATENATE("'",$EK$1,"'!I")&amp;($EL$9))</f>
        <v>5.1000000000000004E-3</v>
      </c>
      <c r="EV12" s="7">
        <f>mgmt!$A224</f>
        <v>0.1066</v>
      </c>
      <c r="EW12" s="14">
        <f>mgmt!B224</f>
        <v>0.7419</v>
      </c>
      <c r="EX12" s="14">
        <f>1.96*mgmt!C224</f>
        <v>9.3100000000000002E-2</v>
      </c>
      <c r="EY12" s="14">
        <f>mgmt!D224</f>
        <v>0.1193</v>
      </c>
      <c r="EZ12" s="14">
        <f>1.96*mgmt!E224</f>
        <v>7.8792000000000001E-2</v>
      </c>
      <c r="FA12" s="14">
        <f>mgmt!F224</f>
        <v>0.1086</v>
      </c>
      <c r="FB12" s="14">
        <f>1.96*mgmt!G224</f>
        <v>4.5275999999999997E-2</v>
      </c>
      <c r="FC12" s="14">
        <f>mgmt!H224</f>
        <v>3.0099999999999998E-2</v>
      </c>
      <c r="FD12" s="14">
        <f>1.96*mgmt!I224</f>
        <v>4.8803999999999993E-2</v>
      </c>
      <c r="FN12" s="6"/>
      <c r="FO12">
        <f ca="1">INDIRECT(CONCATENATE("'",$FN$1,"'!C")&amp;($FO$9))</f>
        <v>4.9700000000000001E-2</v>
      </c>
      <c r="FP12">
        <f ca="1">INDIRECT(CONCATENATE("'",$FN$1,"'!E")&amp;($FO$9))</f>
        <v>4.5199999999999997E-2</v>
      </c>
      <c r="FQ12">
        <f ca="1">INDIRECT(CONCATENATE("'",$FN$1,"'!G")&amp;($FO$9))</f>
        <v>3.4799999999999998E-2</v>
      </c>
      <c r="FR12">
        <f ca="1">INDIRECT(CONCATENATE("'",$FN$1,"'!I")&amp;($FO$9))</f>
        <v>1.4200000000000001E-2</v>
      </c>
      <c r="FT12" s="6"/>
      <c r="GH12" s="6"/>
      <c r="GI12">
        <f ca="1">INDIRECT(CONCATENATE("'",$GH$1,"'!C")&amp;($GI$9))</f>
        <v>2.69E-2</v>
      </c>
      <c r="GJ12">
        <f ca="1">INDIRECT(CONCATENATE("'",$GH$1,"'!E")&amp;($GI$9))</f>
        <v>2.3E-2</v>
      </c>
      <c r="GK12">
        <f ca="1">INDIRECT(CONCATENATE("'",$GH$1,"'!G")&amp;($GI$9))</f>
        <v>2.0199999999999999E-2</v>
      </c>
      <c r="GL12">
        <f ca="1">INDIRECT(CONCATENATE("'",$GH$1,"'!I")&amp;($GI$9))</f>
        <v>6.3E-3</v>
      </c>
      <c r="GP12" s="6"/>
      <c r="GQ12">
        <f ca="1">INDIRECT(CONCATENATE("'",$GP$1,"'!C")&amp;($GQ$9))</f>
        <v>2.0199999999999999E-2</v>
      </c>
      <c r="GR12">
        <f ca="1">INDIRECT(CONCATENATE("'",$GP$1,"'!E")&amp;($GQ$9))</f>
        <v>1.6899999999999998E-2</v>
      </c>
      <c r="GS12">
        <f ca="1">INDIRECT(CONCATENATE("'",$GP$1,"'!G")&amp;($GQ$9))</f>
        <v>1.52E-2</v>
      </c>
      <c r="GT12">
        <f ca="1">INDIRECT(CONCATENATE("'",$GP$1,"'!I")&amp;($GQ$9))</f>
        <v>4.8999999999999998E-3</v>
      </c>
    </row>
    <row r="13" spans="1:202" x14ac:dyDescent="0.25">
      <c r="A13" s="6"/>
      <c r="B13" s="9">
        <f ca="1">INDIRECT(CONCATENATE("'",$A$1,"'!C")&amp;($B$9))</f>
        <v>3.1300000000000001E-2</v>
      </c>
      <c r="C13" s="9">
        <f ca="1">INDIRECT(CONCATENATE("'",$A$1,"'!E")&amp;($B$9))</f>
        <v>2.75E-2</v>
      </c>
      <c r="D13" s="9">
        <f ca="1">INDIRECT(CONCATENATE("'",$A$1,"'!G")&amp;($B$9))</f>
        <v>2.29E-2</v>
      </c>
      <c r="E13" s="9">
        <f ca="1">INDIRECT(CONCATENATE("'",$A$1,"'!I")&amp;($B$9))</f>
        <v>7.3000000000000001E-3</v>
      </c>
      <c r="K13" s="6"/>
      <c r="L13" s="9">
        <f ca="1">INDIRECT(CONCATENATE("'",$K$1,"'!C")&amp;($L$9))</f>
        <v>3.4799999999999998E-2</v>
      </c>
      <c r="M13" s="9">
        <f ca="1">INDIRECT(CONCATENATE("'",$K$1,"'!E")&amp;($L$9))</f>
        <v>2.9899999999999999E-2</v>
      </c>
      <c r="N13" s="9">
        <f ca="1">INDIRECT(CONCATENATE("'",$K$1,"'!G")&amp;($L$9))</f>
        <v>2.5999999999999999E-2</v>
      </c>
      <c r="O13" s="9">
        <f ca="1">INDIRECT(CONCATENATE("'",$K$1,"'!I")&amp;($L$9))</f>
        <v>8.8000000000000005E-3</v>
      </c>
      <c r="S13" s="6"/>
      <c r="T13" s="6"/>
      <c r="U13">
        <f ca="1">INDIRECT(CONCATENATE("'",$S$1,"'!D")&amp;($V$1+T12))</f>
        <v>-27.774999999999999</v>
      </c>
      <c r="V13">
        <f ca="1">INDIRECT(CONCATENATE("'",$S$1,"'!G")&amp;($V$1+T12))</f>
        <v>-19.829799999999999</v>
      </c>
      <c r="W13">
        <f ca="1">INDIRECT(CONCATENATE("'",$S$1,"'!J")&amp;($V$1+T12))</f>
        <v>-25.636199999999999</v>
      </c>
      <c r="X13">
        <f ca="1">INDIRECT(CONCATENATE("'",$S$1,"'!M")&amp;($V$1+T12))</f>
        <v>34.304699999999997</v>
      </c>
      <c r="AO13" s="6"/>
      <c r="AP13" s="9">
        <f ca="1">INDIRECT(CONCATENATE("'",$AO$1,"'!C")&amp;($AP$9))</f>
        <v>1.9400000000000001E-2</v>
      </c>
      <c r="AQ13" s="9">
        <f ca="1">INDIRECT(CONCATENATE("'",$AO$1,"'!E")&amp;($AP$9))</f>
        <v>1.6400000000000001E-2</v>
      </c>
      <c r="AR13" s="9">
        <f ca="1">INDIRECT(CONCATENATE("'",$AO$1,"'!G")&amp;($AP$9))</f>
        <v>1.44E-2</v>
      </c>
      <c r="AS13" s="9">
        <f ca="1">INDIRECT(CONCATENATE("'",$AO$1,"'!I")&amp;($AP$9))</f>
        <v>4.7000000000000002E-3</v>
      </c>
      <c r="AW13" s="6"/>
      <c r="AX13" s="9">
        <f ca="1">INDIRECT(CONCATENATE("'",$AW$1,"'!C")&amp;($AX$9))</f>
        <v>1.9300000000000001E-2</v>
      </c>
      <c r="AY13" s="9">
        <f ca="1">INDIRECT(CONCATENATE("'",$AW$1,"'!E")&amp;($AX$9))</f>
        <v>1.6E-2</v>
      </c>
      <c r="AZ13" s="9">
        <f ca="1">INDIRECT(CONCATENATE("'",$AW$1,"'!G")&amp;($AX$9))</f>
        <v>1.43E-2</v>
      </c>
      <c r="BA13" s="9">
        <f ca="1">INDIRECT(CONCATENATE("'",$AW$1,"'!I")&amp;($AX$9))</f>
        <v>4.4000000000000003E-3</v>
      </c>
      <c r="BH13" s="6">
        <f>b2a!A249</f>
        <v>4</v>
      </c>
      <c r="BI13" s="14">
        <f>b2a!B249</f>
        <v>0.46870000000000001</v>
      </c>
      <c r="BJ13" s="14">
        <f>b2a!D249</f>
        <v>0.1822</v>
      </c>
      <c r="BK13" s="14">
        <f>b2a!F249</f>
        <v>0.29099999999999998</v>
      </c>
      <c r="BL13" s="14">
        <f>b2a!H249</f>
        <v>5.8099999999999999E-2</v>
      </c>
      <c r="BZ13" s="6">
        <f>b4a!$A220</f>
        <v>2</v>
      </c>
      <c r="CA13" s="14">
        <f>b4a!$B220</f>
        <v>0.64970000000000006</v>
      </c>
      <c r="CB13" s="14">
        <f>b4a!$D220</f>
        <v>0.17510000000000001</v>
      </c>
      <c r="CC13" s="14">
        <f>b4a!$F220</f>
        <v>0.1573</v>
      </c>
      <c r="CD13" s="14">
        <f>b4a!$H220</f>
        <v>1.7899999999999999E-2</v>
      </c>
      <c r="CF13" s="7"/>
      <c r="CG13" s="8">
        <f ca="1">CG11/CG12</f>
        <v>31.422330097087379</v>
      </c>
      <c r="CH13" s="8">
        <f t="shared" ref="CH13:CJ13" ca="1" si="0">CH11/CH12</f>
        <v>9.7199999999999989</v>
      </c>
      <c r="CI13" s="8">
        <f t="shared" ca="1" si="0"/>
        <v>10.703225806451613</v>
      </c>
      <c r="CJ13" s="8">
        <f t="shared" ca="1" si="0"/>
        <v>3.5</v>
      </c>
      <c r="CN13" s="6">
        <f>'b7'!$A222</f>
        <v>3</v>
      </c>
      <c r="CO13" s="14">
        <f>'b7'!$B222</f>
        <v>0.61750000000000005</v>
      </c>
      <c r="CP13" s="14">
        <f>'b7'!$D222</f>
        <v>0.19969999999999999</v>
      </c>
      <c r="CQ13" s="14">
        <f>'b7'!$F222</f>
        <v>0.1699</v>
      </c>
      <c r="CR13" s="14">
        <f>'b7'!$H222</f>
        <v>1.2800000000000001E-2</v>
      </c>
      <c r="CU13" s="6" t="str">
        <f ca="1">INDIRECT(CONCATENATE("'",$CU$1,"'!A")&amp;($CV$11))</f>
        <v>Local â€“ main product sold mostly in same municipality wher</v>
      </c>
      <c r="CV13">
        <f ca="1">INDIRECT(CONCATENATE("'",$CU$1,"'!B")&amp;($CV$11))</f>
        <v>0.67379999999999995</v>
      </c>
      <c r="CW13">
        <f ca="1">INDIRECT(CONCATENATE("'",$CU$1,"'!D")&amp;($CV$11))</f>
        <v>0.14249999999999999</v>
      </c>
      <c r="CX13">
        <f ca="1">INDIRECT(CONCATENATE("'",$CU$1,"'!F")&amp;($CV$11))</f>
        <v>0.15959999999999999</v>
      </c>
      <c r="CY13">
        <f ca="1">INDIRECT(CONCATENATE("'",$CU$1,"'!H")&amp;($CV$11))</f>
        <v>2.41E-2</v>
      </c>
      <c r="DI13" s="7"/>
      <c r="DJ13" s="8">
        <f ca="1">DJ11/DJ12</f>
        <v>20.159159159159156</v>
      </c>
      <c r="DK13" s="8">
        <f t="shared" ref="DK13:DM13" ca="1" si="1">DK11/DK12</f>
        <v>5.6543624161073831</v>
      </c>
      <c r="DL13" s="8">
        <f t="shared" ca="1" si="1"/>
        <v>6.0672268907563023</v>
      </c>
      <c r="DM13" s="8">
        <f t="shared" ca="1" si="1"/>
        <v>1.8809523809523812</v>
      </c>
      <c r="DQ13" s="6" t="s">
        <v>120</v>
      </c>
      <c r="DR13" s="6" t="str">
        <f ca="1">CONCATENATE("Cluster ",INDIRECT(CONCATENATE("'",$DQ$1,"'!B")&amp;($DR$12-1)))</f>
        <v>Cluster 1</v>
      </c>
      <c r="DS13" s="6" t="str">
        <f ca="1">CONCATENATE("Cluster ",INDIRECT(CONCATENATE("'",$DQ$1,"'!D")&amp;($DR$12-1)))</f>
        <v>Cluster 2</v>
      </c>
      <c r="DT13" s="6" t="str">
        <f ca="1">CONCATENATE("Cluster ",INDIRECT(CONCATENATE("'",$DQ$1,"'!F")&amp;($DR$12-1)))</f>
        <v>Cluster 3</v>
      </c>
      <c r="DU13" s="6" t="str">
        <f ca="1">CONCATENATE("Cluster ",INDIRECT(CONCATENATE("'",$DQ$1,"'!H")&amp;($DR$12-1)))</f>
        <v>Cluster 4</v>
      </c>
      <c r="ED13" s="6">
        <f>'graft2 exp'!A215</f>
        <v>25</v>
      </c>
      <c r="EE13" s="14">
        <f>'graft2 exp'!$B215</f>
        <v>0.64400000000000002</v>
      </c>
      <c r="EF13" s="14">
        <f>'graft2 exp'!$D215</f>
        <v>0.16209999999999999</v>
      </c>
      <c r="EG13" s="14">
        <f>'graft2 exp'!$F215</f>
        <v>0.1759</v>
      </c>
      <c r="EH13" s="14">
        <f>'graft2 exp'!$H215</f>
        <v>1.8100000000000002E-2</v>
      </c>
      <c r="EK13" s="7"/>
      <c r="EL13" s="8">
        <f ca="1">EL11/EL12</f>
        <v>26.676348547717843</v>
      </c>
      <c r="EM13" s="8">
        <f t="shared" ref="EM13:EO13" ca="1" si="2">EM11/EM12</f>
        <v>8.2524271844660202</v>
      </c>
      <c r="EN13" s="8">
        <f t="shared" ca="1" si="2"/>
        <v>9.6611111111111114</v>
      </c>
      <c r="EO13" s="8">
        <f t="shared" ca="1" si="2"/>
        <v>2.5882352941176467</v>
      </c>
      <c r="EV13" s="7">
        <f>mgmt!$A225</f>
        <v>0.12</v>
      </c>
      <c r="EW13" s="14">
        <f>mgmt!B225</f>
        <v>0.73970000000000002</v>
      </c>
      <c r="EX13" s="14">
        <f>1.96*mgmt!C225</f>
        <v>9.0943999999999997E-2</v>
      </c>
      <c r="EY13" s="14">
        <f>mgmt!D225</f>
        <v>0.1207</v>
      </c>
      <c r="EZ13" s="14">
        <f>1.96*mgmt!E225</f>
        <v>7.7420000000000003E-2</v>
      </c>
      <c r="FA13" s="14">
        <f>mgmt!F225</f>
        <v>0.11</v>
      </c>
      <c r="FB13" s="14">
        <f>1.96*mgmt!G225</f>
        <v>4.4687999999999999E-2</v>
      </c>
      <c r="FC13" s="14">
        <f>mgmt!H225</f>
        <v>2.9600000000000001E-2</v>
      </c>
      <c r="FD13" s="14">
        <f>1.96*mgmt!I225</f>
        <v>4.6452E-2</v>
      </c>
      <c r="FN13" s="7"/>
      <c r="FO13" s="8">
        <f ca="1">FO11/FO12</f>
        <v>12.22334004024145</v>
      </c>
      <c r="FP13" s="8">
        <f ca="1">FP11/FP12</f>
        <v>4.3495575221238942</v>
      </c>
      <c r="FQ13" s="8">
        <f ca="1">FQ11/FQ12</f>
        <v>5.0028735632183912</v>
      </c>
      <c r="FR13" s="8">
        <f ca="1">FR11/FR12</f>
        <v>1.5352112676056338</v>
      </c>
      <c r="FT13" s="6"/>
      <c r="GH13" s="7"/>
      <c r="GI13" s="8">
        <f ca="1">GI11/GI12</f>
        <v>23.687732342007433</v>
      </c>
      <c r="GJ13" s="8">
        <f ca="1">GJ11/GJ12</f>
        <v>7.6913043478260867</v>
      </c>
      <c r="GK13" s="8">
        <f ca="1">GK11/GK12</f>
        <v>8.435643564356436</v>
      </c>
      <c r="GL13" s="8">
        <f ca="1">GL11/GL12</f>
        <v>2.4761904761904763</v>
      </c>
      <c r="GM13" s="8"/>
      <c r="GN13" s="8"/>
      <c r="GO13" s="8"/>
      <c r="GP13" s="7"/>
      <c r="GQ13" s="8">
        <f ca="1">GQ11/GQ12</f>
        <v>32.346534653465348</v>
      </c>
      <c r="GR13" s="8">
        <f ca="1">GR11/GR12</f>
        <v>9.5917159763313613</v>
      </c>
      <c r="GS13" s="8">
        <f ca="1">GS11/GS12</f>
        <v>11</v>
      </c>
      <c r="GT13" s="8">
        <f ca="1">GT11/GT12</f>
        <v>3.5306122448979593</v>
      </c>
    </row>
    <row r="14" spans="1:202" x14ac:dyDescent="0.25">
      <c r="A14" s="7"/>
      <c r="B14" s="8">
        <f ca="1">B12/B13</f>
        <v>19.482428115015974</v>
      </c>
      <c r="C14" s="8">
        <f t="shared" ref="C14:E14" ca="1" si="3">C12/C13</f>
        <v>7.1163636363636371</v>
      </c>
      <c r="D14" s="8">
        <f t="shared" ca="1" si="3"/>
        <v>7.6113537117903931</v>
      </c>
      <c r="E14" s="8">
        <f t="shared" ca="1" si="3"/>
        <v>2.7671232876712328</v>
      </c>
      <c r="K14" s="7"/>
      <c r="L14" s="8">
        <f ca="1">L12/L13</f>
        <v>17.686781609195403</v>
      </c>
      <c r="M14" s="8">
        <f t="shared" ref="M14:O14" ca="1" si="4">M12/M13</f>
        <v>6.2775919732441476</v>
      </c>
      <c r="N14" s="8">
        <f t="shared" ca="1" si="4"/>
        <v>6.6538461538461533</v>
      </c>
      <c r="O14" s="8">
        <f t="shared" ca="1" si="4"/>
        <v>2.7159090909090908</v>
      </c>
      <c r="S14" s="6">
        <f ca="1">INDIRECT(CONCATENATE("'",$S$1,"'!A")&amp;($V$1+T14))</f>
        <v>242526</v>
      </c>
      <c r="T14" s="6">
        <v>5</v>
      </c>
      <c r="U14">
        <f ca="1">INDIRECT(CONCATENATE("'",$S$1,"'!B")&amp;($V$1+T14))</f>
        <v>-0.8357</v>
      </c>
      <c r="V14">
        <f ca="1">INDIRECT(CONCATENATE("'",$S$1,"'!E")&amp;($V$1+T14))</f>
        <v>-0.97360000000000002</v>
      </c>
      <c r="W14">
        <f ca="1">INDIRECT(CONCATENATE("'",$S$1,"'!H")&amp;($V$1+T14))</f>
        <v>-0.79510000000000003</v>
      </c>
      <c r="X14">
        <f ca="1">INDIRECT(CONCATENATE("'",$S$1,"'!K")&amp;($V$1+T14))</f>
        <v>2.6044</v>
      </c>
      <c r="AO14" s="7"/>
      <c r="AP14" s="8">
        <f ca="1">AP12/AP13</f>
        <v>34.432989690721648</v>
      </c>
      <c r="AQ14" s="8">
        <f t="shared" ref="AQ14:AS14" ca="1" si="5">AQ12/AQ13</f>
        <v>9.9207317073170724</v>
      </c>
      <c r="AR14" s="8">
        <f t="shared" ca="1" si="5"/>
        <v>10.631944444444446</v>
      </c>
      <c r="AS14" s="8">
        <f t="shared" ca="1" si="5"/>
        <v>3.4468085106382977</v>
      </c>
      <c r="AW14" s="7"/>
      <c r="AX14" s="8">
        <f ca="1">AX12/AX13</f>
        <v>34.6580310880829</v>
      </c>
      <c r="AY14" s="8">
        <f ca="1">AY12/AY13</f>
        <v>9.9</v>
      </c>
      <c r="AZ14" s="8">
        <f ca="1">AZ12/AZ13</f>
        <v>11.06993006993007</v>
      </c>
      <c r="BA14" s="8">
        <f ca="1">BA12/BA13</f>
        <v>3.2727272727272725</v>
      </c>
      <c r="BH14" s="6">
        <f>b2a!A250</f>
        <v>5</v>
      </c>
      <c r="BI14" s="14">
        <f>b2a!B250</f>
        <v>0.47110000000000002</v>
      </c>
      <c r="BJ14" s="14">
        <f>b2a!D250</f>
        <v>0.18229999999999999</v>
      </c>
      <c r="BK14" s="14">
        <f>b2a!F250</f>
        <v>0.28939999999999999</v>
      </c>
      <c r="BL14" s="14">
        <f>b2a!H250</f>
        <v>5.7299999999999997E-2</v>
      </c>
      <c r="BZ14" s="6">
        <f>b4a!$A221</f>
        <v>3</v>
      </c>
      <c r="CA14" s="14">
        <f>b4a!$B221</f>
        <v>0.65029999999999999</v>
      </c>
      <c r="CB14" s="14">
        <f>b4a!$D221</f>
        <v>0.17469999999999999</v>
      </c>
      <c r="CC14" s="14">
        <f>b4a!$F221</f>
        <v>0.15720000000000001</v>
      </c>
      <c r="CD14" s="14">
        <f>b4a!$H221</f>
        <v>1.78E-2</v>
      </c>
      <c r="CF14" s="6">
        <f ca="1">INDIRECT(CONCATENATE("'",$CF$1,"'!A")&amp;($CG$9+1))</f>
        <v>100</v>
      </c>
      <c r="CG14">
        <f ca="1">INDIRECT(CONCATENATE("'",$CF$1,"'!B")&amp;($CG$9+1))</f>
        <v>0.72189999999999999</v>
      </c>
      <c r="CH14">
        <f ca="1">INDIRECT(CONCATENATE("'",$CF$1,"'!D")&amp;($CG$9+1))</f>
        <v>0.1336</v>
      </c>
      <c r="CI14">
        <f ca="1">INDIRECT(CONCATENATE("'",$CF$1,"'!F")&amp;($CG$9+1))</f>
        <v>0.12959999999999999</v>
      </c>
      <c r="CJ14">
        <f ca="1">INDIRECT(CONCATENATE("'",$CF$1,"'!H")&amp;($CG$9+1))</f>
        <v>1.49E-2</v>
      </c>
      <c r="CN14" s="6">
        <f>'b7'!$A223</f>
        <v>4</v>
      </c>
      <c r="CO14" s="14">
        <f>'b7'!$B223</f>
        <v>0.61950000000000005</v>
      </c>
      <c r="CP14" s="14">
        <f>'b7'!$D223</f>
        <v>0.19800000000000001</v>
      </c>
      <c r="CQ14" s="14">
        <f>'b7'!$F223</f>
        <v>0.16950000000000001</v>
      </c>
      <c r="CR14" s="14">
        <f>'b7'!$H223</f>
        <v>1.2999999999999999E-2</v>
      </c>
      <c r="CU14" s="6"/>
      <c r="CV14">
        <f ca="1">INDIRECT(CONCATENATE("'",$CU$1,"'!C")&amp;($CV$11))</f>
        <v>4.24E-2</v>
      </c>
      <c r="CW14">
        <f ca="1">INDIRECT(CONCATENATE("'",$CU$1,"'!E")&amp;($CV$11))</f>
        <v>3.7199999999999997E-2</v>
      </c>
      <c r="CX14">
        <f ca="1">INDIRECT(CONCATENATE("'",$CU$1,"'!G")&amp;($CV$11))</f>
        <v>2.9499999999999998E-2</v>
      </c>
      <c r="CY14">
        <f ca="1">INDIRECT(CONCATENATE("'",$CU$1,"'!I")&amp;($CV$11))</f>
        <v>1.66E-2</v>
      </c>
      <c r="DI14" s="6">
        <f ca="1">INDIRECT(CONCATENATE("'",$DI$1,"'!A")&amp;($DJ$9+1))</f>
        <v>100</v>
      </c>
      <c r="DJ14">
        <f ca="1">INDIRECT(CONCATENATE("'",$DI$1,"'!B")&amp;($DJ$9+1))</f>
        <v>0.6512</v>
      </c>
      <c r="DK14">
        <f ca="1">INDIRECT(CONCATENATE("'",$DI$1,"'!D")&amp;($DJ$9+1))</f>
        <v>0.16270000000000001</v>
      </c>
      <c r="DL14">
        <f ca="1">INDIRECT(CONCATENATE("'",$DI$1,"'!F")&amp;($DJ$9+1))</f>
        <v>0.16919999999999999</v>
      </c>
      <c r="DM14">
        <f ca="1">INDIRECT(CONCATENATE("'",$DI$1,"'!H")&amp;($DJ$9+1))</f>
        <v>1.6899999999999998E-2</v>
      </c>
      <c r="DQ14" s="6" t="str">
        <f ca="1">INDIRECT(CONCATENATE("'",$DQ$1,"'!A")&amp;($DR$12))</f>
        <v>Manufacturing</v>
      </c>
      <c r="DR14">
        <f ca="1">INDIRECT(CONCATENATE("'",$DQ$1,"'!B")&amp;($DR$12))</f>
        <v>0.68840000000000001</v>
      </c>
      <c r="DS14">
        <f ca="1">INDIRECT(CONCATENATE("'",$DQ$1,"'!D")&amp;($DR$12))</f>
        <v>0.1623</v>
      </c>
      <c r="DT14">
        <f ca="1">INDIRECT(CONCATENATE("'",$DQ$1,"'!F")&amp;($DR$12))</f>
        <v>0.13639999999999999</v>
      </c>
      <c r="DU14">
        <f ca="1">INDIRECT(CONCATENATE("'",$DQ$1,"'!H")&amp;($DR$12))</f>
        <v>1.29E-2</v>
      </c>
      <c r="ED14" s="6">
        <f>'graft2 exp'!A216</f>
        <v>28.57</v>
      </c>
      <c r="EE14" s="14">
        <f>'graft2 exp'!$B216</f>
        <v>0.64539999999999997</v>
      </c>
      <c r="EF14" s="14">
        <f>'graft2 exp'!$D216</f>
        <v>0.16089999999999999</v>
      </c>
      <c r="EG14" s="14">
        <f>'graft2 exp'!$F216</f>
        <v>0.17510000000000001</v>
      </c>
      <c r="EH14" s="14">
        <f>'graft2 exp'!$H216</f>
        <v>1.8599999999999998E-2</v>
      </c>
      <c r="EK14" s="6">
        <f ca="1">INDIRECT(CONCATENATE("'",$EK$1,"'!A")&amp;($EL$9+1))</f>
        <v>100</v>
      </c>
      <c r="EL14">
        <f ca="1">INDIRECT(CONCATENATE("'",$EK$1,"'!B")&amp;($EL$9+1))</f>
        <v>0.59309999999999996</v>
      </c>
      <c r="EM14">
        <f ca="1">INDIRECT(CONCATENATE("'",$EK$1,"'!D")&amp;($EL$9+1))</f>
        <v>0.15529999999999999</v>
      </c>
      <c r="EN14">
        <f ca="1">INDIRECT(CONCATENATE("'",$EK$1,"'!F")&amp;($EL$9+1))</f>
        <v>0.2172</v>
      </c>
      <c r="EO14">
        <f ca="1">INDIRECT(CONCATENATE("'",$EK$1,"'!H")&amp;($EL$9+1))</f>
        <v>3.4500000000000003E-2</v>
      </c>
      <c r="EV14" s="7">
        <f>mgmt!$A226</f>
        <v>0.13320000000000001</v>
      </c>
      <c r="EW14" s="14">
        <f>mgmt!B226</f>
        <v>0.73750000000000004</v>
      </c>
      <c r="EX14" s="14">
        <f>1.96*mgmt!C226</f>
        <v>8.859199999999999E-2</v>
      </c>
      <c r="EY14" s="14">
        <f>mgmt!D226</f>
        <v>0.122</v>
      </c>
      <c r="EZ14" s="14">
        <f>1.96*mgmt!E226</f>
        <v>7.5851999999999989E-2</v>
      </c>
      <c r="FA14" s="14">
        <f>mgmt!F226</f>
        <v>0.1115</v>
      </c>
      <c r="FB14" s="14">
        <f>1.96*mgmt!G226</f>
        <v>4.3903999999999999E-2</v>
      </c>
      <c r="FC14" s="14">
        <f>mgmt!H226</f>
        <v>2.9000000000000001E-2</v>
      </c>
      <c r="FD14" s="14">
        <f>1.96*mgmt!I226</f>
        <v>4.41E-2</v>
      </c>
      <c r="FN14" s="6" t="str">
        <f ca="1">INDIRECT(CONCATENATE("'",$FN$1,"'!A")&amp;($FO$9+1))</f>
        <v>No</v>
      </c>
      <c r="FO14">
        <f ca="1">INDIRECT(CONCATENATE("'",$FN$1,"'!B")&amp;($FO$9+1))</f>
        <v>0.66390000000000005</v>
      </c>
      <c r="FP14">
        <f ca="1">INDIRECT(CONCATENATE("'",$FN$1,"'!D")&amp;($FO$9+1))</f>
        <v>0.16189999999999999</v>
      </c>
      <c r="FQ14">
        <f ca="1">INDIRECT(CONCATENATE("'",$FN$1,"'!F")&amp;($FO$9+1))</f>
        <v>0.15840000000000001</v>
      </c>
      <c r="FR14">
        <f ca="1">INDIRECT(CONCATENATE("'",$FN$1,"'!H")&amp;($FO$9+1))</f>
        <v>1.5699999999999999E-2</v>
      </c>
      <c r="FT14" s="6"/>
      <c r="GH14" s="6" t="str">
        <f ca="1">INDIRECT(CONCATENATE("'",$GH$1,"'!A")&amp;($GI$9+1))</f>
        <v>No</v>
      </c>
      <c r="GI14">
        <f ca="1">INDIRECT(CONCATENATE("'",$GH$1,"'!B")&amp;($GI$9+1))</f>
        <v>0.67610000000000003</v>
      </c>
      <c r="GJ14">
        <f ca="1">INDIRECT(CONCATENATE("'",$GH$1,"'!D")&amp;($GI$9+1))</f>
        <v>0.15579999999999999</v>
      </c>
      <c r="GK14">
        <f ca="1">INDIRECT(CONCATENATE("'",$GH$1,"'!F")&amp;($GI$9+1))</f>
        <v>0.15079999999999999</v>
      </c>
      <c r="GL14">
        <f ca="1">INDIRECT(CONCATENATE("'",$GH$1,"'!H")&amp;($GI$9+1))</f>
        <v>1.7399999999999999E-2</v>
      </c>
      <c r="GP14" s="6">
        <f ca="1">INDIRECT(CONCATENATE("'",$GP$1,"'!A")&amp;($GQ$9+1))</f>
        <v>100</v>
      </c>
      <c r="GQ14">
        <f ca="1">INDIRECT(CONCATENATE("'",$GP$1,"'!B")&amp;($GQ$9+1))</f>
        <v>0.69610000000000005</v>
      </c>
      <c r="GR14">
        <f ca="1">INDIRECT(CONCATENATE("'",$GP$1,"'!D")&amp;($GQ$9+1))</f>
        <v>0.2064</v>
      </c>
      <c r="GS14">
        <f ca="1">INDIRECT(CONCATENATE("'",$GP$1,"'!F")&amp;($GQ$9+1))</f>
        <v>8.9899999999999994E-2</v>
      </c>
      <c r="GT14">
        <f ca="1">INDIRECT(CONCATENATE("'",$GP$1,"'!H")&amp;($GQ$9+1))</f>
        <v>7.6E-3</v>
      </c>
    </row>
    <row r="15" spans="1:202" x14ac:dyDescent="0.25">
      <c r="A15" s="6" t="str">
        <f ca="1">INDIRECT(CONCATENATE("'",$A$1,"'!A")&amp;($B$9+1))</f>
        <v>No</v>
      </c>
      <c r="B15" s="9">
        <f ca="1">INDIRECT(CONCATENATE("'",$A$1,"'!B")&amp;($B$9+1))</f>
        <v>0.68600000000000005</v>
      </c>
      <c r="C15" s="9">
        <f ca="1">INDIRECT(CONCATENATE("'",$A$1,"'!D")&amp;($B$9+1))</f>
        <v>0.1431</v>
      </c>
      <c r="D15" s="9">
        <f ca="1">INDIRECT(CONCATENATE("'",$A$1,"'!F")&amp;($B$9+1))</f>
        <v>0.15629999999999999</v>
      </c>
      <c r="E15" s="9">
        <f ca="1">INDIRECT(CONCATENATE("'",$A$1,"'!H")&amp;($B$9+1))</f>
        <v>1.46E-2</v>
      </c>
      <c r="K15" s="6" t="str">
        <f ca="1">INDIRECT(CONCATENATE("'",$K$1,"'!A")&amp;($L$9+1))</f>
        <v>No</v>
      </c>
      <c r="L15" s="9">
        <f ca="1">INDIRECT(CONCATENATE("'",$K$1,"'!B")&amp;($L$9+1))</f>
        <v>0.67510000000000003</v>
      </c>
      <c r="M15" s="9">
        <f ca="1">INDIRECT(CONCATENATE("'",$K$1,"'!D")&amp;($L$9+1))</f>
        <v>0.15260000000000001</v>
      </c>
      <c r="N15" s="9">
        <f ca="1">INDIRECT(CONCATENATE("'",$K$1,"'!F")&amp;($L$9+1))</f>
        <v>0.1588</v>
      </c>
      <c r="O15" s="9">
        <f ca="1">INDIRECT(CONCATENATE("'",$K$1,"'!H")&amp;($L$9+1))</f>
        <v>1.35E-2</v>
      </c>
      <c r="S15" s="6"/>
      <c r="T15" s="6"/>
      <c r="U15">
        <f ca="1">INDIRECT(CONCATENATE("'",$S$1,"'!D")&amp;($V$1+T14))</f>
        <v>-2.4359999999999999</v>
      </c>
      <c r="V15">
        <f ca="1">INDIRECT(CONCATENATE("'",$S$1,"'!G")&amp;($V$1+T14))</f>
        <v>-2.2555000000000001</v>
      </c>
      <c r="W15">
        <f ca="1">INDIRECT(CONCATENATE("'",$S$1,"'!J")&amp;($V$1+T14))</f>
        <v>0</v>
      </c>
      <c r="X15">
        <f ca="1">INDIRECT(CONCATENATE("'",$S$1,"'!M")&amp;($V$1+T14))</f>
        <v>0</v>
      </c>
      <c r="AO15" s="6" t="s">
        <v>298</v>
      </c>
      <c r="AP15" s="9">
        <f ca="1">INDIRECT(CONCATENATE("'",$AO$1,"'!B")&amp;($AP$9+1))</f>
        <v>0.49859999999999999</v>
      </c>
      <c r="AQ15" s="9">
        <f ca="1">INDIRECT(CONCATENATE("'",$AO$1,"'!D")&amp;($AP$9+1))</f>
        <v>0.21540000000000001</v>
      </c>
      <c r="AR15" s="9">
        <f ca="1">INDIRECT(CONCATENATE("'",$AO$1,"'!F")&amp;($AP$9+1))</f>
        <v>0.26519999999999999</v>
      </c>
      <c r="AS15" s="9">
        <f ca="1">INDIRECT(CONCATENATE("'",$AO$1,"'!H")&amp;($AP$9+1))</f>
        <v>2.0799999999999999E-2</v>
      </c>
      <c r="AW15" s="6" t="s">
        <v>296</v>
      </c>
      <c r="AX15" s="9">
        <f ca="1">INDIRECT(CONCATENATE("'",$AW$1,"'!B")&amp;($AX$9+1))</f>
        <v>0.49440000000000001</v>
      </c>
      <c r="AY15" s="9">
        <f ca="1">INDIRECT(CONCATENATE("'",$AW$1,"'!D")&amp;($AX$9+1))</f>
        <v>0.26219999999999999</v>
      </c>
      <c r="AZ15" s="9">
        <f ca="1">INDIRECT(CONCATENATE("'",$AW$1,"'!F")&amp;($AX$9+1))</f>
        <v>0.1956</v>
      </c>
      <c r="BA15" s="9">
        <f ca="1">INDIRECT(CONCATENATE("'",$AW$1,"'!H")&amp;($AX$9+1))</f>
        <v>4.7800000000000002E-2</v>
      </c>
      <c r="BH15" s="6">
        <f>b2a!A251</f>
        <v>7</v>
      </c>
      <c r="BI15" s="14">
        <f>b2a!B251</f>
        <v>0.47570000000000001</v>
      </c>
      <c r="BJ15" s="14">
        <f>b2a!D251</f>
        <v>0.18229999999999999</v>
      </c>
      <c r="BK15" s="14">
        <f>b2a!F251</f>
        <v>0.28620000000000001</v>
      </c>
      <c r="BL15" s="14">
        <f>b2a!H251</f>
        <v>5.5800000000000002E-2</v>
      </c>
      <c r="BZ15" s="6">
        <f>b4a!$A222</f>
        <v>4</v>
      </c>
      <c r="CA15" s="14">
        <f>b4a!$B222</f>
        <v>0.65090000000000003</v>
      </c>
      <c r="CB15" s="14">
        <f>b4a!$D222</f>
        <v>0.1744</v>
      </c>
      <c r="CC15" s="14">
        <f>b4a!$F222</f>
        <v>0.15709999999999999</v>
      </c>
      <c r="CD15" s="14">
        <f>b4a!$H222</f>
        <v>1.77E-2</v>
      </c>
      <c r="CF15" s="6"/>
      <c r="CG15">
        <f ca="1">INDIRECT(CONCATENATE("'",$CF$1,"'!C")&amp;($CG$9+1))</f>
        <v>4.6300000000000001E-2</v>
      </c>
      <c r="CH15">
        <f ca="1">INDIRECT(CONCATENATE("'",$CF$1,"'!E")&amp;($CG$9+1))</f>
        <v>4.2500000000000003E-2</v>
      </c>
      <c r="CI15">
        <f ca="1">INDIRECT(CONCATENATE("'",$CF$1,"'!G")&amp;($CG$9+1))</f>
        <v>2.9899999999999999E-2</v>
      </c>
      <c r="CJ15">
        <f ca="1">INDIRECT(CONCATENATE("'",$CF$1,"'!I")&amp;($CG$9+1))</f>
        <v>1.2999999999999999E-2</v>
      </c>
      <c r="CN15" s="6">
        <f>'b7'!$A224</f>
        <v>5</v>
      </c>
      <c r="CO15" s="14">
        <f>'b7'!$B224</f>
        <v>0.62150000000000005</v>
      </c>
      <c r="CP15" s="14">
        <f>'b7'!$D224</f>
        <v>0.19639999999999999</v>
      </c>
      <c r="CQ15" s="14">
        <f>'b7'!$F224</f>
        <v>0.16900000000000001</v>
      </c>
      <c r="CR15" s="14">
        <f>'b7'!$H224</f>
        <v>1.3100000000000001E-2</v>
      </c>
      <c r="CU15" s="7"/>
      <c r="CV15" s="8">
        <f ca="1">CV13/CV14</f>
        <v>15.891509433962263</v>
      </c>
      <c r="CW15" s="8">
        <f t="shared" ref="CW15:CY15" ca="1" si="6">CW13/CW14</f>
        <v>3.8306451612903225</v>
      </c>
      <c r="CX15" s="8">
        <f t="shared" ca="1" si="6"/>
        <v>5.4101694915254237</v>
      </c>
      <c r="CY15" s="8">
        <f t="shared" ca="1" si="6"/>
        <v>1.4518072289156627</v>
      </c>
      <c r="DI15" s="6"/>
      <c r="DJ15">
        <f ca="1">INDIRECT(CONCATENATE("'",$DI$1,"'!C")&amp;($DJ$9+1))</f>
        <v>2.2700000000000001E-2</v>
      </c>
      <c r="DK15">
        <f ca="1">INDIRECT(CONCATENATE("'",$DI$1,"'!E")&amp;($DJ$9+1))</f>
        <v>1.8499999999999999E-2</v>
      </c>
      <c r="DL15">
        <f ca="1">INDIRECT(CONCATENATE("'",$DI$1,"'!G")&amp;($DJ$9+1))</f>
        <v>1.7399999999999999E-2</v>
      </c>
      <c r="DM15">
        <f ca="1">INDIRECT(CONCATENATE("'",$DI$1,"'!I")&amp;($DJ$9+1))</f>
        <v>5.1000000000000004E-3</v>
      </c>
      <c r="DQ15" s="6"/>
      <c r="DR15">
        <f ca="1">INDIRECT(CONCATENATE("'",$DQ$1,"'!C")&amp;($DR$12))</f>
        <v>2.81E-2</v>
      </c>
      <c r="DS15">
        <f ca="1">INDIRECT(CONCATENATE("'",$DQ$1,"'!E")&amp;($DR$12))</f>
        <v>2.4E-2</v>
      </c>
      <c r="DT15">
        <f ca="1">INDIRECT(CONCATENATE("'",$DQ$1,"'!G")&amp;($DR$12))</f>
        <v>1.9199999999999998E-2</v>
      </c>
      <c r="DU15">
        <f ca="1">INDIRECT(CONCATENATE("'",$DQ$1,"'!I")&amp;($DR$12))</f>
        <v>7.7000000000000002E-3</v>
      </c>
      <c r="ED15" s="6">
        <f>'graft2 exp'!A217</f>
        <v>33.33</v>
      </c>
      <c r="EE15" s="14">
        <f>'graft2 exp'!$B217</f>
        <v>0.64729999999999999</v>
      </c>
      <c r="EF15" s="14">
        <f>'graft2 exp'!$D217</f>
        <v>0.15920000000000001</v>
      </c>
      <c r="EG15" s="14">
        <f>'graft2 exp'!$F217</f>
        <v>0.1741</v>
      </c>
      <c r="EH15" s="14">
        <f>'graft2 exp'!$H217</f>
        <v>1.9400000000000001E-2</v>
      </c>
      <c r="EK15" s="6"/>
      <c r="EL15">
        <f ca="1">INDIRECT(CONCATENATE("'",$EK$1,"'!C")&amp;($EL$9+1))</f>
        <v>6.6000000000000003E-2</v>
      </c>
      <c r="EM15">
        <f ca="1">INDIRECT(CONCATENATE("'",$EK$1,"'!E")&amp;($EL$9+1))</f>
        <v>4.9000000000000002E-2</v>
      </c>
      <c r="EN15">
        <f ca="1">INDIRECT(CONCATENATE("'",$EK$1,"'!G")&amp;($EL$9+1))</f>
        <v>5.62E-2</v>
      </c>
      <c r="EO15">
        <f ca="1">INDIRECT(CONCATENATE("'",$EK$1,"'!I")&amp;($EL$9+1))</f>
        <v>2.2599999999999999E-2</v>
      </c>
      <c r="EV15" s="7">
        <f>mgmt!$A227</f>
        <v>0.13339999999999999</v>
      </c>
      <c r="EW15" s="14">
        <f>mgmt!B227</f>
        <v>0.73750000000000004</v>
      </c>
      <c r="EX15" s="14">
        <f>1.96*mgmt!C227</f>
        <v>8.859199999999999E-2</v>
      </c>
      <c r="EY15" s="14">
        <f>mgmt!D227</f>
        <v>0.122</v>
      </c>
      <c r="EZ15" s="14">
        <f>1.96*mgmt!E227</f>
        <v>7.5851999999999989E-2</v>
      </c>
      <c r="FA15" s="14">
        <f>mgmt!F227</f>
        <v>0.1115</v>
      </c>
      <c r="FB15" s="14">
        <f>1.96*mgmt!G227</f>
        <v>4.3903999999999999E-2</v>
      </c>
      <c r="FC15" s="14">
        <f>mgmt!H227</f>
        <v>2.9000000000000001E-2</v>
      </c>
      <c r="FD15" s="14">
        <f>1.96*mgmt!I227</f>
        <v>4.41E-2</v>
      </c>
      <c r="FN15" s="6"/>
      <c r="FO15">
        <f ca="1">INDIRECT(CONCATENATE("'",$FN$1,"'!C")&amp;($FO$9+1))</f>
        <v>2.0299999999999999E-2</v>
      </c>
      <c r="FP15">
        <f ca="1">INDIRECT(CONCATENATE("'",$FN$1,"'!E")&amp;($FO$9+1))</f>
        <v>1.7299999999999999E-2</v>
      </c>
      <c r="FQ15">
        <f ca="1">INDIRECT(CONCATENATE("'",$FN$1,"'!G")&amp;($FO$9+1))</f>
        <v>1.52E-2</v>
      </c>
      <c r="FR15">
        <f ca="1">INDIRECT(CONCATENATE("'",$FN$1,"'!I")&amp;($FO$9+1))</f>
        <v>4.7000000000000002E-3</v>
      </c>
      <c r="FT15" s="6"/>
      <c r="GH15" s="6"/>
      <c r="GI15">
        <f ca="1">INDIRECT(CONCATENATE("'",$GH$1,"'!C")&amp;($GI$9+1))</f>
        <v>2.6700000000000002E-2</v>
      </c>
      <c r="GJ15">
        <f ca="1">INDIRECT(CONCATENATE("'",$GH$1,"'!E")&amp;($GI$9+1))</f>
        <v>2.3E-2</v>
      </c>
      <c r="GK15">
        <f ca="1">INDIRECT(CONCATENATE("'",$GH$1,"'!G")&amp;($GI$9+1))</f>
        <v>1.9800000000000002E-2</v>
      </c>
      <c r="GL15">
        <f ca="1">INDIRECT(CONCATENATE("'",$GH$1,"'!I")&amp;($GI$9+1))</f>
        <v>6.3E-3</v>
      </c>
      <c r="GP15" s="6"/>
      <c r="GQ15">
        <f ca="1">INDIRECT(CONCATENATE("'",$GP$1,"'!C")&amp;($GQ$9+1))</f>
        <v>5.28E-2</v>
      </c>
      <c r="GR15">
        <f ca="1">INDIRECT(CONCATENATE("'",$GP$1,"'!E")&amp;($GQ$9+1))</f>
        <v>5.5E-2</v>
      </c>
      <c r="GS15">
        <f ca="1">INDIRECT(CONCATENATE("'",$GP$1,"'!G")&amp;($GQ$9+1))</f>
        <v>1.9900000000000001E-2</v>
      </c>
      <c r="GT15">
        <f ca="1">INDIRECT(CONCATENATE("'",$GP$1,"'!I")&amp;($GQ$9+1))</f>
        <v>4.5999999999999999E-3</v>
      </c>
    </row>
    <row r="16" spans="1:202" x14ac:dyDescent="0.25">
      <c r="A16" s="6"/>
      <c r="B16" s="9">
        <f ca="1">INDIRECT(CONCATENATE("'",$A$1,"'!C")&amp;($B$9+1))</f>
        <v>2.3400000000000001E-2</v>
      </c>
      <c r="C16" s="9">
        <f ca="1">INDIRECT(CONCATENATE("'",$A$1,"'!E")&amp;($B$9+1))</f>
        <v>1.9300000000000001E-2</v>
      </c>
      <c r="D16" s="9">
        <f ca="1">INDIRECT(CONCATENATE("'",$A$1,"'!G")&amp;($B$9+1))</f>
        <v>1.8200000000000001E-2</v>
      </c>
      <c r="E16" s="9">
        <f ca="1">INDIRECT(CONCATENATE("'",$A$1,"'!I")&amp;($B$9+1))</f>
        <v>5.7999999999999996E-3</v>
      </c>
      <c r="K16" s="6"/>
      <c r="L16" s="9">
        <f ca="1">INDIRECT(CONCATENATE("'",$K$1,"'!C")&amp;($L$9+1))</f>
        <v>2.2200000000000001E-2</v>
      </c>
      <c r="M16" s="9">
        <f ca="1">INDIRECT(CONCATENATE("'",$K$1,"'!E")&amp;($L$9+1))</f>
        <v>1.8700000000000001E-2</v>
      </c>
      <c r="N16" s="9">
        <f ca="1">INDIRECT(CONCATENATE("'",$K$1,"'!G")&amp;($L$9+1))</f>
        <v>1.7000000000000001E-2</v>
      </c>
      <c r="O16" s="9">
        <f ca="1">INDIRECT(CONCATENATE("'",$K$1,"'!I")&amp;($L$9+1))</f>
        <v>5.3E-3</v>
      </c>
      <c r="S16" s="6">
        <f ca="1">INDIRECT(CONCATENATE("'",$S$1,"'!A")&amp;($V$1+T16))</f>
        <v>606162</v>
      </c>
      <c r="T16" s="6">
        <v>6</v>
      </c>
      <c r="U16">
        <f ca="1">INDIRECT(CONCATENATE("'",$S$1,"'!B")&amp;($V$1+T16))</f>
        <v>-7.8594999999999997</v>
      </c>
      <c r="V16">
        <f ca="1">INDIRECT(CONCATENATE("'",$S$1,"'!E")&amp;($V$1+T16))</f>
        <v>-7.8193999999999999</v>
      </c>
      <c r="W16">
        <f ca="1">INDIRECT(CONCATENATE("'",$S$1,"'!H")&amp;($V$1+T16))</f>
        <v>-8.5706000000000007</v>
      </c>
      <c r="X16">
        <f ca="1">INDIRECT(CONCATENATE("'",$S$1,"'!K")&amp;($V$1+T16))</f>
        <v>24.249400000000001</v>
      </c>
      <c r="AO16" s="6"/>
      <c r="AP16" s="9">
        <f ca="1">INDIRECT(CONCATENATE("'",$AO$1,"'!C")&amp;($AP$9+1))</f>
        <v>7.4499999999999997E-2</v>
      </c>
      <c r="AQ16" s="9">
        <f ca="1">INDIRECT(CONCATENATE("'",$AO$1,"'!E")&amp;($AP$9+1))</f>
        <v>7.8100000000000003E-2</v>
      </c>
      <c r="AR16" s="9">
        <f ca="1">INDIRECT(CONCATENATE("'",$AO$1,"'!G")&amp;($AP$9+1))</f>
        <v>6.08E-2</v>
      </c>
      <c r="AS16" s="9">
        <f ca="1">INDIRECT(CONCATENATE("'",$AO$1,"'!I")&amp;($AP$9+1))</f>
        <v>9.7000000000000003E-3</v>
      </c>
      <c r="AW16" s="6"/>
      <c r="AX16" s="9">
        <f ca="1">INDIRECT(CONCATENATE("'",$AW$1,"'!C")&amp;($AX$9+1))</f>
        <v>8.5199999999999998E-2</v>
      </c>
      <c r="AY16" s="9">
        <f ca="1">INDIRECT(CONCATENATE("'",$AW$1,"'!E")&amp;($AX$9+1))</f>
        <v>8.7400000000000005E-2</v>
      </c>
      <c r="AZ16" s="9">
        <f ca="1">INDIRECT(CONCATENATE("'",$AW$1,"'!G")&amp;($AX$9+1))</f>
        <v>6.3299999999999995E-2</v>
      </c>
      <c r="BA16" s="9">
        <f ca="1">INDIRECT(CONCATENATE("'",$AW$1,"'!I")&amp;($AX$9+1))</f>
        <v>2.6100000000000002E-2</v>
      </c>
      <c r="BH16" s="6">
        <f>b2a!A252</f>
        <v>8</v>
      </c>
      <c r="BI16" s="14">
        <f>b2a!B252</f>
        <v>0.47810000000000002</v>
      </c>
      <c r="BJ16" s="14">
        <f>b2a!D252</f>
        <v>0.18240000000000001</v>
      </c>
      <c r="BK16" s="14">
        <f>b2a!F252</f>
        <v>0.28460000000000002</v>
      </c>
      <c r="BL16" s="14">
        <f>b2a!H252</f>
        <v>5.5E-2</v>
      </c>
      <c r="BZ16" s="6">
        <f>b4a!$A223</f>
        <v>5</v>
      </c>
      <c r="CA16" s="14">
        <f>b4a!$B223</f>
        <v>0.65139999999999998</v>
      </c>
      <c r="CB16" s="14">
        <f>b4a!$D223</f>
        <v>0.17399999999999999</v>
      </c>
      <c r="CC16" s="14">
        <f>b4a!$F223</f>
        <v>0.157</v>
      </c>
      <c r="CD16" s="14">
        <f>b4a!$H223</f>
        <v>1.7600000000000001E-2</v>
      </c>
      <c r="CF16" s="7"/>
      <c r="CG16" s="8">
        <f ca="1">CG14/CG15</f>
        <v>15.591792656587472</v>
      </c>
      <c r="CH16" s="8">
        <f t="shared" ref="CH16:CJ16" ca="1" si="7">CH14/CH15</f>
        <v>3.1435294117647055</v>
      </c>
      <c r="CI16" s="8">
        <f t="shared" ca="1" si="7"/>
        <v>4.3344481605351168</v>
      </c>
      <c r="CJ16" s="8">
        <f t="shared" ca="1" si="7"/>
        <v>1.1461538461538463</v>
      </c>
      <c r="CN16" s="6">
        <f>'b7'!$A225</f>
        <v>6</v>
      </c>
      <c r="CO16" s="14">
        <f>'b7'!$B225</f>
        <v>0.62339999999999995</v>
      </c>
      <c r="CP16" s="14">
        <f>'b7'!$D225</f>
        <v>0.19470000000000001</v>
      </c>
      <c r="CQ16" s="14">
        <f>'b7'!$F225</f>
        <v>0.16850000000000001</v>
      </c>
      <c r="CR16" s="14">
        <f>'b7'!$H225</f>
        <v>1.3299999999999999E-2</v>
      </c>
      <c r="CU16" s="6" t="str">
        <f ca="1">INDIRECT(CONCATENATE("'",$CU$1,"'!A")&amp;($CV$11+1))</f>
        <v>National â€“ main product sold mostly across the country whe</v>
      </c>
      <c r="CV16">
        <f ca="1">INDIRECT(CONCATENATE("'",$CU$1,"'!B")&amp;($CV$11+1))</f>
        <v>0.69969999999999999</v>
      </c>
      <c r="CW16">
        <f ca="1">INDIRECT(CONCATENATE("'",$CU$1,"'!D")&amp;($CV$11+1))</f>
        <v>0.1779</v>
      </c>
      <c r="CX16">
        <f ca="1">INDIRECT(CONCATENATE("'",$CU$1,"'!F")&amp;($CV$11+1))</f>
        <v>0.11799999999999999</v>
      </c>
      <c r="CY16">
        <f ca="1">INDIRECT(CONCATENATE("'",$CU$1,"'!H")&amp;($CV$11+1))</f>
        <v>4.4999999999999997E-3</v>
      </c>
      <c r="DI16" s="7"/>
      <c r="DJ16" s="8">
        <f ca="1">DJ14/DJ15</f>
        <v>28.687224669603523</v>
      </c>
      <c r="DK16" s="8">
        <f t="shared" ref="DK16:DM16" ca="1" si="8">DK14/DK15</f>
        <v>8.7945945945945958</v>
      </c>
      <c r="DL16" s="8">
        <f t="shared" ca="1" si="8"/>
        <v>9.7241379310344822</v>
      </c>
      <c r="DM16" s="8">
        <f t="shared" ca="1" si="8"/>
        <v>3.3137254901960778</v>
      </c>
      <c r="DQ16" s="7"/>
      <c r="DR16" s="8">
        <f ca="1">DR14/DR15</f>
        <v>24.498220640569397</v>
      </c>
      <c r="DS16" s="8">
        <f t="shared" ref="DS16:DU16" ca="1" si="9">DS14/DS15</f>
        <v>6.7625000000000002</v>
      </c>
      <c r="DT16" s="8">
        <f t="shared" ca="1" si="9"/>
        <v>7.104166666666667</v>
      </c>
      <c r="DU16" s="8">
        <f t="shared" ca="1" si="9"/>
        <v>1.6753246753246753</v>
      </c>
      <c r="ED16" s="6">
        <f>'graft2 exp'!A218</f>
        <v>40</v>
      </c>
      <c r="EE16" s="14">
        <f>'graft2 exp'!$B218</f>
        <v>0.64990000000000003</v>
      </c>
      <c r="EF16" s="14">
        <f>'graft2 exp'!$D218</f>
        <v>0.157</v>
      </c>
      <c r="EG16" s="14">
        <f>'graft2 exp'!$F218</f>
        <v>0.1726</v>
      </c>
      <c r="EH16" s="14">
        <f>'graft2 exp'!$H218</f>
        <v>2.0500000000000001E-2</v>
      </c>
      <c r="EK16" s="7"/>
      <c r="EL16" s="8">
        <f ca="1">EL14/EL15</f>
        <v>8.9863636363636346</v>
      </c>
      <c r="EM16" s="8">
        <f t="shared" ref="EM16:EO16" ca="1" si="10">EM14/EM15</f>
        <v>3.1693877551020404</v>
      </c>
      <c r="EN16" s="8">
        <f t="shared" ca="1" si="10"/>
        <v>3.8647686832740216</v>
      </c>
      <c r="EO16" s="8">
        <f t="shared" ca="1" si="10"/>
        <v>1.5265486725663719</v>
      </c>
      <c r="EV16" s="7">
        <f>mgmt!$A228</f>
        <v>0.14660000000000001</v>
      </c>
      <c r="EW16" s="14">
        <f>mgmt!B228</f>
        <v>0.73529999999999995</v>
      </c>
      <c r="EX16" s="14">
        <f>1.96*mgmt!C228</f>
        <v>8.6435999999999999E-2</v>
      </c>
      <c r="EY16" s="14">
        <f>mgmt!D228</f>
        <v>0.1234</v>
      </c>
      <c r="EZ16" s="14">
        <f>1.96*mgmt!E228</f>
        <v>7.4479999999999991E-2</v>
      </c>
      <c r="FA16" s="14">
        <f>mgmt!F228</f>
        <v>0.1129</v>
      </c>
      <c r="FB16" s="14">
        <f>1.96*mgmt!G228</f>
        <v>4.3316E-2</v>
      </c>
      <c r="FC16" s="14">
        <f>mgmt!H228</f>
        <v>2.8400000000000002E-2</v>
      </c>
      <c r="FD16" s="14">
        <f>1.96*mgmt!I228</f>
        <v>4.1943999999999995E-2</v>
      </c>
      <c r="FN16" s="7"/>
      <c r="FO16" s="8">
        <f ca="1">FO14/FO15</f>
        <v>32.704433497536954</v>
      </c>
      <c r="FP16" s="8">
        <f ca="1">FP14/FP15</f>
        <v>9.3583815028901736</v>
      </c>
      <c r="FQ16" s="8">
        <f ca="1">FQ14/FQ15</f>
        <v>10.421052631578949</v>
      </c>
      <c r="FR16" s="8">
        <f ca="1">FR14/FR15</f>
        <v>3.3404255319148932</v>
      </c>
      <c r="FT16" s="6"/>
      <c r="GH16" s="7"/>
      <c r="GI16" s="8">
        <f ca="1">GI14/GI15</f>
        <v>25.322097378277153</v>
      </c>
      <c r="GJ16" s="8">
        <f ca="1">GJ14/GJ15</f>
        <v>6.7739130434782604</v>
      </c>
      <c r="GK16" s="8">
        <f ca="1">GK14/GK15</f>
        <v>7.616161616161615</v>
      </c>
      <c r="GL16" s="8">
        <f ca="1">GL14/GL15</f>
        <v>2.7619047619047619</v>
      </c>
      <c r="GM16" s="8"/>
      <c r="GN16" s="8"/>
      <c r="GO16" s="8"/>
      <c r="GP16" s="7"/>
      <c r="GQ16" s="8">
        <f ca="1">GQ14/GQ15</f>
        <v>13.183712121212123</v>
      </c>
      <c r="GR16" s="8">
        <f ca="1">GR14/GR15</f>
        <v>3.7527272727272729</v>
      </c>
      <c r="GS16" s="8">
        <f ca="1">GS14/GS15</f>
        <v>4.5175879396984921</v>
      </c>
      <c r="GT16" s="8">
        <f ca="1">GT14/GT15</f>
        <v>1.6521739130434783</v>
      </c>
    </row>
    <row r="17" spans="1:180" x14ac:dyDescent="0.25">
      <c r="A17" s="7"/>
      <c r="B17" s="8">
        <f ca="1">B15/B16</f>
        <v>29.316239316239319</v>
      </c>
      <c r="C17" s="8">
        <f t="shared" ref="C17:E17" ca="1" si="11">C15/C16</f>
        <v>7.4145077720207251</v>
      </c>
      <c r="D17" s="8">
        <f t="shared" ca="1" si="11"/>
        <v>8.5879120879120876</v>
      </c>
      <c r="E17" s="8">
        <f t="shared" ca="1" si="11"/>
        <v>2.5172413793103452</v>
      </c>
      <c r="K17" s="7"/>
      <c r="L17" s="8">
        <f ca="1">L15/L16</f>
        <v>30.40990990990991</v>
      </c>
      <c r="M17" s="8">
        <f t="shared" ref="M17:O17" ca="1" si="12">M15/M16</f>
        <v>8.1604278074866308</v>
      </c>
      <c r="N17" s="8">
        <f t="shared" ca="1" si="12"/>
        <v>9.3411764705882341</v>
      </c>
      <c r="O17" s="8">
        <f t="shared" ca="1" si="12"/>
        <v>2.5471698113207548</v>
      </c>
      <c r="S17" s="6"/>
      <c r="T17" s="6"/>
      <c r="U17">
        <f ca="1">INDIRECT(CONCATENATE("'",$S$1,"'!D")&amp;($V$1+T16))</f>
        <v>-20.498000000000001</v>
      </c>
      <c r="V17">
        <f ca="1">INDIRECT(CONCATENATE("'",$S$1,"'!G")&amp;($V$1+T16))</f>
        <v>-15.3027</v>
      </c>
      <c r="W17">
        <f ca="1">INDIRECT(CONCATENATE("'",$S$1,"'!J")&amp;($V$1+T16))</f>
        <v>-15.7174</v>
      </c>
      <c r="X17">
        <f ca="1">INDIRECT(CONCATENATE("'",$S$1,"'!M")&amp;($V$1+T16))</f>
        <v>25.0853</v>
      </c>
      <c r="AO17" s="7"/>
      <c r="AP17" s="8">
        <f ca="1">AP15/AP16</f>
        <v>6.6926174496644295</v>
      </c>
      <c r="AQ17" s="8">
        <f t="shared" ref="AQ17:AS17" ca="1" si="13">AQ15/AQ16</f>
        <v>2.7580025608194623</v>
      </c>
      <c r="AR17" s="8">
        <f t="shared" ca="1" si="13"/>
        <v>4.3618421052631575</v>
      </c>
      <c r="AS17" s="8">
        <f t="shared" ca="1" si="13"/>
        <v>2.1443298969072164</v>
      </c>
      <c r="AW17" s="7"/>
      <c r="AX17" s="8">
        <f ca="1">AX15/AX16</f>
        <v>5.802816901408451</v>
      </c>
      <c r="AY17" s="8">
        <f ca="1">AY15/AY16</f>
        <v>2.9999999999999996</v>
      </c>
      <c r="AZ17" s="8">
        <f ca="1">AZ15/AZ16</f>
        <v>3.0900473933649293</v>
      </c>
      <c r="BA17" s="8">
        <f ca="1">BA15/BA16</f>
        <v>1.8314176245210727</v>
      </c>
      <c r="BH17" s="6">
        <f>b2a!A253</f>
        <v>10</v>
      </c>
      <c r="BI17" s="14">
        <f>b2a!B253</f>
        <v>0.48270000000000002</v>
      </c>
      <c r="BJ17" s="14">
        <f>b2a!D253</f>
        <v>0.18240000000000001</v>
      </c>
      <c r="BK17" s="14">
        <f>b2a!F253</f>
        <v>0.28139999999999998</v>
      </c>
      <c r="BL17" s="14">
        <f>b2a!H253</f>
        <v>5.3499999999999999E-2</v>
      </c>
      <c r="BZ17" s="6">
        <f>b4a!$A224</f>
        <v>6</v>
      </c>
      <c r="CA17" s="14">
        <f>b4a!$B224</f>
        <v>0.65200000000000002</v>
      </c>
      <c r="CB17" s="14">
        <f>b4a!$D224</f>
        <v>0.1736</v>
      </c>
      <c r="CC17" s="14">
        <f>b4a!$F224</f>
        <v>0.15690000000000001</v>
      </c>
      <c r="CD17" s="14">
        <f>b4a!$H224</f>
        <v>1.7500000000000002E-2</v>
      </c>
      <c r="CF17" s="6"/>
      <c r="CN17" s="6">
        <f>'b7'!$A226</f>
        <v>7</v>
      </c>
      <c r="CO17" s="14">
        <f>'b7'!$B226</f>
        <v>0.62539999999999996</v>
      </c>
      <c r="CP17" s="14">
        <f>'b7'!$D226</f>
        <v>0.19309999999999999</v>
      </c>
      <c r="CQ17" s="14">
        <f>'b7'!$F226</f>
        <v>0.1681</v>
      </c>
      <c r="CR17" s="14">
        <f>'b7'!$H226</f>
        <v>1.35E-2</v>
      </c>
      <c r="CU17" s="6"/>
      <c r="CV17">
        <f ca="1">INDIRECT(CONCATENATE("'",$CU$1,"'!C")&amp;($CV$11+1))</f>
        <v>3.5499999999999997E-2</v>
      </c>
      <c r="CW17">
        <f ca="1">INDIRECT(CONCATENATE("'",$CU$1,"'!E")&amp;($CV$11+1))</f>
        <v>3.0499999999999999E-2</v>
      </c>
      <c r="CX17">
        <f ca="1">INDIRECT(CONCATENATE("'",$CU$1,"'!G")&amp;($CV$11+1))</f>
        <v>2.4E-2</v>
      </c>
      <c r="CY17">
        <f ca="1">INDIRECT(CONCATENATE("'",$CU$1,"'!I")&amp;($CV$11+1))</f>
        <v>2.0999999999999999E-3</v>
      </c>
      <c r="DI17" s="6"/>
      <c r="DQ17" s="6" t="str">
        <f ca="1">INDIRECT(CONCATENATE("'",$DQ$1,"'!A")&amp;($DR$12+1))</f>
        <v>Retail</v>
      </c>
      <c r="DR17">
        <f ca="1">INDIRECT(CONCATENATE("'",$DQ$1,"'!B")&amp;($DR$12+1))</f>
        <v>0.72989999999999999</v>
      </c>
      <c r="DS17">
        <f ca="1">INDIRECT(CONCATENATE("'",$DQ$1,"'!D")&amp;($DR$12+1))</f>
        <v>0.1169</v>
      </c>
      <c r="DT17">
        <f ca="1">INDIRECT(CONCATENATE("'",$DQ$1,"'!F")&amp;($DR$12+1))</f>
        <v>0.1424</v>
      </c>
      <c r="DU17">
        <f ca="1">INDIRECT(CONCATENATE("'",$DQ$1,"'!H")&amp;($DR$12+1))</f>
        <v>1.0800000000000001E-2</v>
      </c>
      <c r="ED17" s="6">
        <f>'graft2 exp'!A219</f>
        <v>42.86</v>
      </c>
      <c r="EE17" s="14">
        <f>'graft2 exp'!$B219</f>
        <v>0.65100000000000002</v>
      </c>
      <c r="EF17" s="14">
        <f>'graft2 exp'!$D219</f>
        <v>0.156</v>
      </c>
      <c r="EG17" s="14">
        <f>'graft2 exp'!$F219</f>
        <v>0.17199999999999999</v>
      </c>
      <c r="EH17" s="14">
        <f>'graft2 exp'!$H219</f>
        <v>2.1000000000000001E-2</v>
      </c>
      <c r="EK17" s="6"/>
      <c r="EV17" s="7">
        <f>mgmt!$A229</f>
        <v>0.16</v>
      </c>
      <c r="EW17" s="14">
        <f>mgmt!B229</f>
        <v>0.73299999999999998</v>
      </c>
      <c r="EX17" s="14">
        <f>1.96*mgmt!C229</f>
        <v>8.4084000000000006E-2</v>
      </c>
      <c r="EY17" s="14">
        <f>mgmt!D229</f>
        <v>0.12470000000000001</v>
      </c>
      <c r="EZ17" s="14">
        <f>1.96*mgmt!E229</f>
        <v>7.2911999999999991E-2</v>
      </c>
      <c r="FA17" s="14">
        <f>mgmt!F229</f>
        <v>0.1144</v>
      </c>
      <c r="FB17" s="14">
        <f>1.96*mgmt!G229</f>
        <v>4.2728000000000002E-2</v>
      </c>
      <c r="FC17" s="14">
        <f>mgmt!H229</f>
        <v>2.7900000000000001E-2</v>
      </c>
      <c r="FD17" s="14">
        <f>1.96*mgmt!I229</f>
        <v>3.9787999999999997E-2</v>
      </c>
      <c r="FT17" t="s">
        <v>121</v>
      </c>
      <c r="FU17">
        <v>204</v>
      </c>
    </row>
    <row r="18" spans="1:180" x14ac:dyDescent="0.25">
      <c r="A18" s="6"/>
      <c r="K18" s="6"/>
      <c r="S18" s="6">
        <f ca="1">INDIRECT(CONCATENATE("'",$S$1,"'!A")&amp;($V$1+T18))</f>
        <v>20362122</v>
      </c>
      <c r="T18" s="6">
        <v>7</v>
      </c>
      <c r="U18">
        <f ca="1">INDIRECT(CONCATENATE("'",$S$1,"'!B")&amp;($V$1+T18))</f>
        <v>33.139400000000002</v>
      </c>
      <c r="V18">
        <f ca="1">INDIRECT(CONCATENATE("'",$S$1,"'!E")&amp;($V$1+T18))</f>
        <v>32.865299999999998</v>
      </c>
      <c r="W18">
        <f ca="1">INDIRECT(CONCATENATE("'",$S$1,"'!H")&amp;($V$1+T18))</f>
        <v>32.908299999999997</v>
      </c>
      <c r="X18">
        <f ca="1">INDIRECT(CONCATENATE("'",$S$1,"'!K")&amp;($V$1+T18))</f>
        <v>-98.912999999999997</v>
      </c>
      <c r="AO18" s="6"/>
      <c r="BH18" s="6">
        <f>b2a!A254</f>
        <v>11</v>
      </c>
      <c r="BI18" s="14">
        <f>b2a!B254</f>
        <v>0.48509999999999998</v>
      </c>
      <c r="BJ18" s="14">
        <f>b2a!D254</f>
        <v>0.18240000000000001</v>
      </c>
      <c r="BK18" s="14">
        <f>b2a!F254</f>
        <v>0.27979999999999999</v>
      </c>
      <c r="BL18" s="14">
        <f>b2a!H254</f>
        <v>5.28E-2</v>
      </c>
      <c r="BZ18" s="6">
        <f>b4a!$A225</f>
        <v>7</v>
      </c>
      <c r="CA18" s="14">
        <f>b4a!$B225</f>
        <v>0.65259999999999996</v>
      </c>
      <c r="CB18" s="14">
        <f>b4a!$D225</f>
        <v>0.17319999999999999</v>
      </c>
      <c r="CC18" s="14">
        <f>b4a!$F225</f>
        <v>0.15679999999999999</v>
      </c>
      <c r="CD18" s="14">
        <f>b4a!$H225</f>
        <v>1.7399999999999999E-2</v>
      </c>
      <c r="CF18" s="6"/>
      <c r="CN18" s="6">
        <f>'b7'!$A227</f>
        <v>8</v>
      </c>
      <c r="CO18" s="14">
        <f>'b7'!$B227</f>
        <v>0.62729999999999997</v>
      </c>
      <c r="CP18" s="14">
        <f>'b7'!$D227</f>
        <v>0.1915</v>
      </c>
      <c r="CQ18" s="14">
        <f>'b7'!$F227</f>
        <v>0.1676</v>
      </c>
      <c r="CR18" s="14">
        <f>'b7'!$H227</f>
        <v>1.3599999999999999E-2</v>
      </c>
      <c r="CU18" s="7"/>
      <c r="CV18" s="8">
        <f ca="1">CV16/CV17</f>
        <v>19.709859154929578</v>
      </c>
      <c r="CW18" s="8">
        <f t="shared" ref="CW18:CY18" ca="1" si="14">CW16/CW17</f>
        <v>5.8327868852459019</v>
      </c>
      <c r="CX18" s="8">
        <f t="shared" ca="1" si="14"/>
        <v>4.9166666666666661</v>
      </c>
      <c r="CY18" s="8">
        <f t="shared" ca="1" si="14"/>
        <v>2.1428571428571428</v>
      </c>
      <c r="DI18" s="6"/>
      <c r="DQ18" s="6"/>
      <c r="DR18">
        <f ca="1">INDIRECT(CONCATENATE("'",$DQ$1,"'!C")&amp;($DR$12+1))</f>
        <v>3.6600000000000001E-2</v>
      </c>
      <c r="DS18">
        <f ca="1">INDIRECT(CONCATENATE("'",$DQ$1,"'!E")&amp;($DR$12+1))</f>
        <v>2.87E-2</v>
      </c>
      <c r="DT18">
        <f ca="1">INDIRECT(CONCATENATE("'",$DQ$1,"'!G")&amp;($DR$12+1))</f>
        <v>2.9100000000000001E-2</v>
      </c>
      <c r="DU18">
        <f ca="1">INDIRECT(CONCATENATE("'",$DQ$1,"'!I")&amp;($DR$12+1))</f>
        <v>8.8000000000000005E-3</v>
      </c>
      <c r="ED18" s="6">
        <f>'graft2 exp'!A220</f>
        <v>50</v>
      </c>
      <c r="EE18" s="14">
        <f>'graft2 exp'!$B220</f>
        <v>0.65369999999999995</v>
      </c>
      <c r="EF18" s="14">
        <f>'graft2 exp'!$D220</f>
        <v>0.15359999999999999</v>
      </c>
      <c r="EG18" s="14">
        <f>'graft2 exp'!$F220</f>
        <v>0.1704</v>
      </c>
      <c r="EH18" s="14">
        <f>'graft2 exp'!$H220</f>
        <v>2.23E-2</v>
      </c>
      <c r="EK18" s="6"/>
      <c r="EV18" s="7">
        <f>mgmt!$A230</f>
        <v>0.17319999999999999</v>
      </c>
      <c r="EW18" s="14">
        <f>mgmt!B230</f>
        <v>0.73070000000000002</v>
      </c>
      <c r="EX18" s="14">
        <f>1.96*mgmt!C230</f>
        <v>8.1927999999999987E-2</v>
      </c>
      <c r="EY18" s="14">
        <f>mgmt!D230</f>
        <v>0.12609999999999999</v>
      </c>
      <c r="EZ18" s="14">
        <f>1.96*mgmt!E230</f>
        <v>7.1344000000000005E-2</v>
      </c>
      <c r="FA18" s="14">
        <f>mgmt!F230</f>
        <v>0.1158</v>
      </c>
      <c r="FB18" s="14">
        <f>1.96*mgmt!G230</f>
        <v>4.1943999999999995E-2</v>
      </c>
      <c r="FC18" s="14">
        <f>mgmt!H230</f>
        <v>2.7300000000000001E-2</v>
      </c>
      <c r="FD18" s="14">
        <f>1.96*mgmt!I230</f>
        <v>3.7631999999999999E-2</v>
      </c>
      <c r="FT18" s="6" t="s">
        <v>120</v>
      </c>
      <c r="FU18" s="6" t="str">
        <f ca="1">CONCATENATE("Cluster ",INDIRECT(CONCATENATE("'",$FT$1,"'!B")&amp;($FU$17-1)))</f>
        <v>Cluster 1</v>
      </c>
      <c r="FV18" s="6" t="str">
        <f ca="1">CONCATENATE("Cluster ",INDIRECT(CONCATENATE("'",$FT$1,"'!D")&amp;($FU$17-1)))</f>
        <v>Cluster 2</v>
      </c>
      <c r="FW18" s="6" t="str">
        <f ca="1">CONCATENATE("Cluster ",INDIRECT(CONCATENATE("'",$FT$1,"'!F")&amp;($FU$17-1)))</f>
        <v>Cluster 3</v>
      </c>
      <c r="FX18" s="6" t="str">
        <f ca="1">CONCATENATE("Cluster ",INDIRECT(CONCATENATE("'",$FT$1,"'!H")&amp;($FU$17-1)))</f>
        <v>Cluster 4</v>
      </c>
    </row>
    <row r="19" spans="1:180" x14ac:dyDescent="0.25">
      <c r="A19" s="7"/>
      <c r="B19" s="8"/>
      <c r="C19" s="8"/>
      <c r="D19" s="8"/>
      <c r="E19" s="8"/>
      <c r="K19" s="7"/>
      <c r="L19" s="8"/>
      <c r="M19" s="8"/>
      <c r="N19" s="8"/>
      <c r="O19" s="8"/>
      <c r="S19" s="6"/>
      <c r="T19" s="6"/>
      <c r="U19">
        <f ca="1">INDIRECT(CONCATENATE("'",$S$1,"'!D")&amp;($V$1+T18))</f>
        <v>90.080500000000001</v>
      </c>
      <c r="V19">
        <f ca="1">INDIRECT(CONCATENATE("'",$S$1,"'!G")&amp;($V$1+T18))</f>
        <v>58.826900000000002</v>
      </c>
      <c r="W19">
        <f ca="1">INDIRECT(CONCATENATE("'",$S$1,"'!J")&amp;($V$1+T18))</f>
        <v>0</v>
      </c>
      <c r="X19">
        <f ca="1">INDIRECT(CONCATENATE("'",$S$1,"'!M")&amp;($V$1+T18))</f>
        <v>0</v>
      </c>
      <c r="AO19" s="7"/>
      <c r="AP19" s="8"/>
      <c r="AQ19" s="8"/>
      <c r="AR19" s="8"/>
      <c r="AS19" s="8"/>
      <c r="BH19" s="6">
        <f>b2a!A255</f>
        <v>12</v>
      </c>
      <c r="BI19" s="14">
        <f>b2a!B255</f>
        <v>0.4874</v>
      </c>
      <c r="BJ19" s="14">
        <f>b2a!D255</f>
        <v>0.18240000000000001</v>
      </c>
      <c r="BK19" s="14">
        <f>b2a!F255</f>
        <v>0.2782</v>
      </c>
      <c r="BL19" s="14">
        <f>b2a!H255</f>
        <v>5.1999999999999998E-2</v>
      </c>
      <c r="BZ19" s="6">
        <f>b4a!$A226</f>
        <v>8</v>
      </c>
      <c r="CA19" s="14">
        <f>b4a!$B226</f>
        <v>0.65310000000000001</v>
      </c>
      <c r="CB19" s="14">
        <f>b4a!$D226</f>
        <v>0.1729</v>
      </c>
      <c r="CC19" s="14">
        <f>b4a!$F226</f>
        <v>0.15670000000000001</v>
      </c>
      <c r="CD19" s="14">
        <f>b4a!$H226</f>
        <v>1.72E-2</v>
      </c>
      <c r="CF19" s="7"/>
      <c r="CG19" s="8"/>
      <c r="CH19" s="8"/>
      <c r="CI19" s="8"/>
      <c r="CJ19" s="8"/>
      <c r="CN19" s="6">
        <f>'b7'!$A228</f>
        <v>9</v>
      </c>
      <c r="CO19" s="14">
        <f>'b7'!$B228</f>
        <v>0.62929999999999997</v>
      </c>
      <c r="CP19" s="14">
        <f>'b7'!$D228</f>
        <v>0.1898</v>
      </c>
      <c r="CQ19" s="14">
        <f>'b7'!$F228</f>
        <v>0.1671</v>
      </c>
      <c r="CR19" s="14">
        <f>'b7'!$H228</f>
        <v>1.38E-2</v>
      </c>
      <c r="CU19" s="6" t="str">
        <f ca="1">INDIRECT(CONCATENATE("'",$CU$1,"'!A")&amp;($CV$11+2))</f>
        <v>International</v>
      </c>
      <c r="CV19">
        <f ca="1">INDIRECT(CONCATENATE("'",$CU$1,"'!B")&amp;($CV$11+2))</f>
        <v>0.69789999999999996</v>
      </c>
      <c r="CW19">
        <f ca="1">INDIRECT(CONCATENATE("'",$CU$1,"'!D")&amp;($CV$11+2))</f>
        <v>0.1454</v>
      </c>
      <c r="CX19">
        <f ca="1">INDIRECT(CONCATENATE("'",$CU$1,"'!F")&amp;($CV$11+2))</f>
        <v>0.1537</v>
      </c>
      <c r="CY19">
        <f ca="1">INDIRECT(CONCATENATE("'",$CU$1,"'!H")&amp;($CV$11+2))</f>
        <v>3.0999999999999999E-3</v>
      </c>
      <c r="DI19" s="7"/>
      <c r="DJ19" s="8"/>
      <c r="DK19" s="8"/>
      <c r="DL19" s="8"/>
      <c r="DM19" s="8"/>
      <c r="DQ19" s="7"/>
      <c r="DR19" s="8">
        <f ca="1">DR17/DR18</f>
        <v>19.942622950819672</v>
      </c>
      <c r="DS19" s="8">
        <f t="shared" ref="DS19:DU19" ca="1" si="15">DS17/DS18</f>
        <v>4.0731707317073171</v>
      </c>
      <c r="DT19" s="8">
        <f t="shared" ca="1" si="15"/>
        <v>4.8934707903780064</v>
      </c>
      <c r="DU19" s="8">
        <f t="shared" ca="1" si="15"/>
        <v>1.2272727272727273</v>
      </c>
      <c r="ED19" s="6">
        <f>'graft2 exp'!A221</f>
        <v>57.14</v>
      </c>
      <c r="EE19" s="14">
        <f>'graft2 exp'!$B221</f>
        <v>0.65629999999999999</v>
      </c>
      <c r="EF19" s="14">
        <f>'graft2 exp'!$D221</f>
        <v>0.1512</v>
      </c>
      <c r="EG19" s="14">
        <f>'graft2 exp'!$F221</f>
        <v>0.16889999999999999</v>
      </c>
      <c r="EH19" s="14">
        <f>'graft2 exp'!$H221</f>
        <v>2.3699999999999999E-2</v>
      </c>
      <c r="EK19" s="7"/>
      <c r="EL19" s="8"/>
      <c r="EM19" s="8"/>
      <c r="EN19" s="8"/>
      <c r="EO19" s="8"/>
      <c r="EV19" s="7">
        <f>mgmt!$A231</f>
        <v>0.1734</v>
      </c>
      <c r="EW19" s="14">
        <f>mgmt!B231</f>
        <v>0.73070000000000002</v>
      </c>
      <c r="EX19" s="14">
        <f>1.96*mgmt!C231</f>
        <v>8.1927999999999987E-2</v>
      </c>
      <c r="EY19" s="14">
        <f>mgmt!D231</f>
        <v>0.12609999999999999</v>
      </c>
      <c r="EZ19" s="14">
        <f>1.96*mgmt!E231</f>
        <v>7.1344000000000005E-2</v>
      </c>
      <c r="FA19" s="14">
        <f>mgmt!F231</f>
        <v>0.1159</v>
      </c>
      <c r="FB19" s="14">
        <f>1.96*mgmt!G231</f>
        <v>4.1943999999999995E-2</v>
      </c>
      <c r="FC19" s="14">
        <f>mgmt!H231</f>
        <v>2.7300000000000001E-2</v>
      </c>
      <c r="FD19" s="14">
        <f>1.96*mgmt!I231</f>
        <v>3.7631999999999999E-2</v>
      </c>
      <c r="FT19" s="6" t="str">
        <f ca="1">INDIRECT(CONCATENATE("'",$FT$1,"'!A")&amp;($FU$17))</f>
        <v>Shareholding company with shares trade in the stock market</v>
      </c>
      <c r="FU19">
        <f ca="1">INDIRECT(CONCATENATE("'",$FT$1,"'!B")&amp;($FU$17))</f>
        <v>0.70940000000000003</v>
      </c>
      <c r="FV19">
        <f ca="1">INDIRECT(CONCATENATE("'",$FT$1,"'!D")&amp;($FU$17))</f>
        <v>9.5899999999999999E-2</v>
      </c>
      <c r="FW19">
        <f ca="1">INDIRECT(CONCATENATE("'",$FT$1,"'!F")&amp;($FU$17))</f>
        <v>0.1555</v>
      </c>
      <c r="FX19">
        <f ca="1">INDIRECT(CONCATENATE("'",$FT$1,"'!H")&amp;($FU$17))</f>
        <v>3.9100000000000003E-2</v>
      </c>
    </row>
    <row r="20" spans="1:180" x14ac:dyDescent="0.25">
      <c r="A20" s="6"/>
      <c r="K20" s="6"/>
      <c r="S20" s="6">
        <f ca="1">INDIRECT(CONCATENATE("'",$S$1,"'!A")&amp;($V$1+T20))</f>
        <v>5052000000</v>
      </c>
      <c r="T20" s="6">
        <v>8</v>
      </c>
      <c r="U20">
        <f ca="1">INDIRECT(CONCATENATE("'",$S$1,"'!B")&amp;($V$1+T20))</f>
        <v>-8.0739999999999998</v>
      </c>
      <c r="V20">
        <f ca="1">INDIRECT(CONCATENATE("'",$S$1,"'!E")&amp;($V$1+T20))</f>
        <v>-8.1971000000000007</v>
      </c>
      <c r="W20">
        <f ca="1">INDIRECT(CONCATENATE("'",$S$1,"'!H")&amp;($V$1+T20))</f>
        <v>-7.8962000000000003</v>
      </c>
      <c r="X20">
        <f ca="1">INDIRECT(CONCATENATE("'",$S$1,"'!K")&amp;($V$1+T20))</f>
        <v>24.167300000000001</v>
      </c>
      <c r="AO20" s="6"/>
      <c r="BH20" s="6">
        <f>b2a!A256</f>
        <v>14</v>
      </c>
      <c r="BI20" s="14">
        <f>b2a!B256</f>
        <v>0.49199999999999999</v>
      </c>
      <c r="BJ20" s="14">
        <f>b2a!D256</f>
        <v>0.18240000000000001</v>
      </c>
      <c r="BK20" s="14">
        <f>b2a!F256</f>
        <v>0.27500000000000002</v>
      </c>
      <c r="BL20" s="14">
        <f>b2a!H256</f>
        <v>5.0599999999999999E-2</v>
      </c>
      <c r="BZ20" s="6">
        <f>b4a!$A227</f>
        <v>9</v>
      </c>
      <c r="CA20" s="14">
        <f>b4a!$B227</f>
        <v>0.65369999999999995</v>
      </c>
      <c r="CB20" s="14">
        <f>b4a!$D227</f>
        <v>0.17249999999999999</v>
      </c>
      <c r="CC20" s="14">
        <f>b4a!$F227</f>
        <v>0.15659999999999999</v>
      </c>
      <c r="CD20" s="14">
        <f>b4a!$H227</f>
        <v>1.7100000000000001E-2</v>
      </c>
      <c r="CF20" s="6"/>
      <c r="CN20" s="6">
        <f>'b7'!$A229</f>
        <v>10</v>
      </c>
      <c r="CO20" s="14">
        <f>'b7'!$B229</f>
        <v>0.63119999999999998</v>
      </c>
      <c r="CP20" s="14">
        <f>'b7'!$D229</f>
        <v>0.18820000000000001</v>
      </c>
      <c r="CQ20" s="14">
        <f>'b7'!$F229</f>
        <v>0.1666</v>
      </c>
      <c r="CR20" s="14">
        <f>'b7'!$H229</f>
        <v>1.3899999999999999E-2</v>
      </c>
      <c r="CU20" s="6"/>
      <c r="CV20">
        <f ca="1">INDIRECT(CONCATENATE("'",$CU$1,"'!C")&amp;($CV$11+2))</f>
        <v>9.69E-2</v>
      </c>
      <c r="CW20">
        <f ca="1">INDIRECT(CONCATENATE("'",$CU$1,"'!E")&amp;($CV$11+2))</f>
        <v>5.8599999999999999E-2</v>
      </c>
      <c r="CX20">
        <f ca="1">INDIRECT(CONCATENATE("'",$CU$1,"'!G")&amp;($CV$11+2))</f>
        <v>5.8299999999999998E-2</v>
      </c>
      <c r="CY20">
        <f ca="1">INDIRECT(CONCATENATE("'",$CU$1,"'!I")&amp;($CV$11+2))</f>
        <v>3.0999999999999999E-3</v>
      </c>
      <c r="DI20" s="6"/>
      <c r="DQ20" s="6" t="str">
        <f ca="1">INDIRECT(CONCATENATE("'",$DQ$1,"'!A")&amp;($DR$12+2))</f>
        <v>Other Services</v>
      </c>
      <c r="DR20">
        <f ca="1">INDIRECT(CONCATENATE("'",$DQ$1,"'!B")&amp;($DR$12+2))</f>
        <v>0.60170000000000001</v>
      </c>
      <c r="DS20">
        <f ca="1">INDIRECT(CONCATENATE("'",$DQ$1,"'!D")&amp;($DR$12+2))</f>
        <v>0.1895</v>
      </c>
      <c r="DT20">
        <f ca="1">INDIRECT(CONCATENATE("'",$DQ$1,"'!F")&amp;($DR$12+2))</f>
        <v>0.18720000000000001</v>
      </c>
      <c r="DU20">
        <f ca="1">INDIRECT(CONCATENATE("'",$DQ$1,"'!H")&amp;($DR$12+2))</f>
        <v>2.1700000000000001E-2</v>
      </c>
      <c r="ED20" s="6">
        <f>'graft2 exp'!A222</f>
        <v>66.67</v>
      </c>
      <c r="EE20" s="14">
        <f>'graft2 exp'!$B222</f>
        <v>0.65959999999999996</v>
      </c>
      <c r="EF20" s="14">
        <f>'graft2 exp'!$D222</f>
        <v>0.14799999999999999</v>
      </c>
      <c r="EG20" s="14">
        <f>'graft2 exp'!$F222</f>
        <v>0.16669999999999999</v>
      </c>
      <c r="EH20" s="14">
        <f>'graft2 exp'!$H222</f>
        <v>2.5700000000000001E-2</v>
      </c>
      <c r="EK20" s="6"/>
      <c r="EV20" s="7">
        <f>mgmt!$A232</f>
        <v>0.18</v>
      </c>
      <c r="EW20" s="14">
        <f>mgmt!B232</f>
        <v>0.72950000000000004</v>
      </c>
      <c r="EX20" s="14">
        <f>1.96*mgmt!C232</f>
        <v>8.0948000000000006E-2</v>
      </c>
      <c r="EY20" s="14">
        <f>mgmt!D232</f>
        <v>0.1268</v>
      </c>
      <c r="EZ20" s="14">
        <f>1.96*mgmt!E232</f>
        <v>7.0559999999999998E-2</v>
      </c>
      <c r="FA20" s="14">
        <f>mgmt!F232</f>
        <v>0.1166</v>
      </c>
      <c r="FB20" s="14">
        <f>1.96*mgmt!G232</f>
        <v>4.1551999999999999E-2</v>
      </c>
      <c r="FC20" s="14">
        <f>mgmt!H232</f>
        <v>2.7E-2</v>
      </c>
      <c r="FD20" s="14">
        <f>1.96*mgmt!I232</f>
        <v>3.6652000000000004E-2</v>
      </c>
      <c r="FT20" s="6"/>
      <c r="FU20">
        <f ca="1">INDIRECT(CONCATENATE("'",$FT$1,"'!C")&amp;($FU$17))</f>
        <v>6.7199999999999996E-2</v>
      </c>
      <c r="FV20">
        <f ca="1">INDIRECT(CONCATENATE("'",$FT$1,"'!E")&amp;($FU$17))</f>
        <v>3.9399999999999998E-2</v>
      </c>
      <c r="FW20">
        <f ca="1">INDIRECT(CONCATENATE("'",$FT$1,"'!G")&amp;($FU$17))</f>
        <v>4.9000000000000002E-2</v>
      </c>
      <c r="FX20">
        <f ca="1">INDIRECT(CONCATENATE("'",$FT$1,"'!I")&amp;($FU$17))</f>
        <v>2.4500000000000001E-2</v>
      </c>
    </row>
    <row r="21" spans="1:180" x14ac:dyDescent="0.25">
      <c r="A21" s="6"/>
      <c r="K21" s="6"/>
      <c r="S21" s="6"/>
      <c r="T21" s="6"/>
      <c r="U21">
        <f ca="1">INDIRECT(CONCATENATE("'",$S$1,"'!D")&amp;($V$1+T20))</f>
        <v>-42.249899999999997</v>
      </c>
      <c r="V21">
        <f ca="1">INDIRECT(CONCATENATE("'",$S$1,"'!G")&amp;($V$1+T20))</f>
        <v>-30.985499999999998</v>
      </c>
      <c r="W21">
        <f ca="1">INDIRECT(CONCATENATE("'",$S$1,"'!J")&amp;($V$1+T20))</f>
        <v>0</v>
      </c>
      <c r="X21">
        <f ca="1">INDIRECT(CONCATENATE("'",$S$1,"'!M")&amp;($V$1+T20))</f>
        <v>0</v>
      </c>
      <c r="AO21" s="6"/>
      <c r="BH21" s="6">
        <f>b2a!A257</f>
        <v>15</v>
      </c>
      <c r="BI21" s="14">
        <f>b2a!B257</f>
        <v>0.49430000000000002</v>
      </c>
      <c r="BJ21" s="14">
        <f>b2a!D257</f>
        <v>0.18240000000000001</v>
      </c>
      <c r="BK21" s="14">
        <f>b2a!F257</f>
        <v>0.27339999999999998</v>
      </c>
      <c r="BL21" s="14">
        <f>b2a!H257</f>
        <v>4.99E-2</v>
      </c>
      <c r="BZ21" s="6">
        <f>b4a!$A228</f>
        <v>10</v>
      </c>
      <c r="CA21" s="14">
        <f>b4a!$B228</f>
        <v>0.65429999999999999</v>
      </c>
      <c r="CB21" s="14">
        <f>b4a!$D228</f>
        <v>0.1721</v>
      </c>
      <c r="CC21" s="14">
        <f>b4a!$F228</f>
        <v>0.1565</v>
      </c>
      <c r="CD21" s="14">
        <f>b4a!$H228</f>
        <v>1.7000000000000001E-2</v>
      </c>
      <c r="CF21" s="6"/>
      <c r="CN21" s="6">
        <f>'b7'!$A230</f>
        <v>11</v>
      </c>
      <c r="CO21" s="14">
        <f>'b7'!$B230</f>
        <v>0.6331</v>
      </c>
      <c r="CP21" s="14">
        <f>'b7'!$D230</f>
        <v>0.18659999999999999</v>
      </c>
      <c r="CQ21" s="14">
        <f>'b7'!$F230</f>
        <v>0.16619999999999999</v>
      </c>
      <c r="CR21" s="14">
        <f>'b7'!$H230</f>
        <v>1.41E-2</v>
      </c>
      <c r="CU21" s="7"/>
      <c r="CV21" s="8">
        <f ca="1">CV19/CV20</f>
        <v>7.2022703818369447</v>
      </c>
      <c r="CW21" s="8">
        <f t="shared" ref="CW21:CY21" ca="1" si="16">CW19/CW20</f>
        <v>2.4812286689419798</v>
      </c>
      <c r="CX21" s="8">
        <f t="shared" ca="1" si="16"/>
        <v>2.6363636363636367</v>
      </c>
      <c r="CY21" s="8">
        <f t="shared" ca="1" si="16"/>
        <v>1</v>
      </c>
      <c r="CZ21" s="9"/>
      <c r="DA21" s="9"/>
      <c r="DB21" s="9"/>
      <c r="DC21" s="9"/>
      <c r="DD21" s="9"/>
      <c r="DE21" s="9"/>
      <c r="DF21" s="9"/>
      <c r="DG21" s="9"/>
      <c r="DI21" s="6"/>
      <c r="DQ21" s="6"/>
      <c r="DR21">
        <f ca="1">INDIRECT(CONCATENATE("'",$DQ$1,"'!C")&amp;($DR$12+2))</f>
        <v>3.15E-2</v>
      </c>
      <c r="DS21">
        <f ca="1">INDIRECT(CONCATENATE("'",$DQ$1,"'!E")&amp;($DR$12+2))</f>
        <v>2.7699999999999999E-2</v>
      </c>
      <c r="DT21">
        <f ca="1">INDIRECT(CONCATENATE("'",$DQ$1,"'!G")&amp;($DR$12+2))</f>
        <v>2.3400000000000001E-2</v>
      </c>
      <c r="DU21">
        <f ca="1">INDIRECT(CONCATENATE("'",$DQ$1,"'!I")&amp;($DR$12+2))</f>
        <v>6.7000000000000002E-3</v>
      </c>
      <c r="ED21" s="6">
        <f>'graft2 exp'!A223</f>
        <v>71.430000000000007</v>
      </c>
      <c r="EE21" s="14">
        <f>'graft2 exp'!$B223</f>
        <v>0.66120000000000001</v>
      </c>
      <c r="EF21" s="14">
        <f>'graft2 exp'!$D223</f>
        <v>0.1464</v>
      </c>
      <c r="EG21" s="14">
        <f>'graft2 exp'!$F223</f>
        <v>0.16569999999999999</v>
      </c>
      <c r="EH21" s="14">
        <f>'graft2 exp'!$H223</f>
        <v>2.6700000000000002E-2</v>
      </c>
      <c r="EK21" s="6"/>
      <c r="EV21" s="7">
        <f>mgmt!$A233</f>
        <v>0.18340000000000001</v>
      </c>
      <c r="EW21" s="14">
        <f>mgmt!B233</f>
        <v>0.72889999999999999</v>
      </c>
      <c r="EX21" s="14">
        <f>1.96*mgmt!C233</f>
        <v>8.0360000000000001E-2</v>
      </c>
      <c r="EY21" s="14">
        <f>mgmt!D233</f>
        <v>0.12720000000000001</v>
      </c>
      <c r="EZ21" s="14">
        <f>1.96*mgmt!E233</f>
        <v>7.0167999999999994E-2</v>
      </c>
      <c r="FA21" s="14">
        <f>mgmt!F233</f>
        <v>0.11700000000000001</v>
      </c>
      <c r="FB21" s="14">
        <f>1.96*mgmt!G233</f>
        <v>4.1356000000000004E-2</v>
      </c>
      <c r="FC21" s="14">
        <f>mgmt!H233</f>
        <v>2.69E-2</v>
      </c>
      <c r="FD21" s="14">
        <f>1.96*mgmt!I233</f>
        <v>3.6260000000000001E-2</v>
      </c>
      <c r="FT21" s="7"/>
      <c r="FU21" s="8">
        <f ca="1">FU19/FU20</f>
        <v>10.55654761904762</v>
      </c>
      <c r="FV21" s="8">
        <f ca="1">FV19/FV20</f>
        <v>2.4340101522842641</v>
      </c>
      <c r="FW21" s="8">
        <f ca="1">FW19/FW20</f>
        <v>3.1734693877551021</v>
      </c>
      <c r="FX21" s="8">
        <f ca="1">FX19/FX20</f>
        <v>1.5959183673469388</v>
      </c>
    </row>
    <row r="22" spans="1:180" x14ac:dyDescent="0.25">
      <c r="A22" s="7"/>
      <c r="B22" s="8"/>
      <c r="C22" s="8"/>
      <c r="D22" s="8"/>
      <c r="E22" s="8"/>
      <c r="K22" s="7"/>
      <c r="L22" s="8"/>
      <c r="M22" s="8"/>
      <c r="N22" s="8"/>
      <c r="O22" s="8"/>
      <c r="S22" s="6">
        <f ca="1">INDIRECT(CONCATENATE("'",$S$1,"'!A")&amp;($V$1+T22))</f>
        <v>293100000000</v>
      </c>
      <c r="T22" s="6">
        <v>9</v>
      </c>
      <c r="U22">
        <f ca="1">INDIRECT(CONCATENATE("'",$S$1,"'!B")&amp;($V$1+T22))</f>
        <v>-8.0121000000000002</v>
      </c>
      <c r="V22">
        <f ca="1">INDIRECT(CONCATENATE("'",$S$1,"'!E")&amp;($V$1+T22))</f>
        <v>-8.5150000000000006</v>
      </c>
      <c r="W22">
        <f ca="1">INDIRECT(CONCATENATE("'",$S$1,"'!H")&amp;($V$1+T22))</f>
        <v>-8.3918999999999997</v>
      </c>
      <c r="X22">
        <f ca="1">INDIRECT(CONCATENATE("'",$S$1,"'!K")&amp;($V$1+T22))</f>
        <v>24.919</v>
      </c>
      <c r="AO22" s="7"/>
      <c r="AP22" s="8"/>
      <c r="AQ22" s="8"/>
      <c r="AR22" s="8"/>
      <c r="AS22" s="8"/>
      <c r="BH22" s="6">
        <f>b2a!A258</f>
        <v>16</v>
      </c>
      <c r="BI22" s="14">
        <f>b2a!B258</f>
        <v>0.49659999999999999</v>
      </c>
      <c r="BJ22" s="14">
        <f>b2a!D258</f>
        <v>0.18240000000000001</v>
      </c>
      <c r="BK22" s="14">
        <f>b2a!F258</f>
        <v>0.27179999999999999</v>
      </c>
      <c r="BL22" s="14">
        <f>b2a!H258</f>
        <v>4.9200000000000001E-2</v>
      </c>
      <c r="BZ22" s="6">
        <f>b4a!$A229</f>
        <v>11</v>
      </c>
      <c r="CA22" s="14">
        <f>b4a!$B229</f>
        <v>0.65480000000000005</v>
      </c>
      <c r="CB22" s="14">
        <f>b4a!$D229</f>
        <v>0.17180000000000001</v>
      </c>
      <c r="CC22" s="14">
        <f>b4a!$F229</f>
        <v>0.15640000000000001</v>
      </c>
      <c r="CD22" s="14">
        <f>b4a!$H229</f>
        <v>1.6899999999999998E-2</v>
      </c>
      <c r="CF22" s="7"/>
      <c r="CG22" s="8"/>
      <c r="CH22" s="8"/>
      <c r="CI22" s="8"/>
      <c r="CJ22" s="8"/>
      <c r="CN22" s="6">
        <f>'b7'!$A231</f>
        <v>12</v>
      </c>
      <c r="CO22" s="14">
        <f>'b7'!$B231</f>
        <v>0.63500000000000001</v>
      </c>
      <c r="CP22" s="14">
        <f>'b7'!$D231</f>
        <v>0.185</v>
      </c>
      <c r="CQ22" s="14">
        <f>'b7'!$F231</f>
        <v>0.16569999999999999</v>
      </c>
      <c r="CR22" s="14">
        <f>'b7'!$H231</f>
        <v>1.43E-2</v>
      </c>
      <c r="CU22" s="6"/>
      <c r="DI22" s="7"/>
      <c r="DJ22" s="8"/>
      <c r="DK22" s="8"/>
      <c r="DL22" s="8"/>
      <c r="DM22" s="8"/>
      <c r="DQ22" s="7"/>
      <c r="DR22" s="8">
        <f ca="1">DR20/DR21</f>
        <v>19.101587301587301</v>
      </c>
      <c r="DS22" s="8">
        <f t="shared" ref="DS22:DU22" ca="1" si="17">DS20/DS21</f>
        <v>6.8411552346570401</v>
      </c>
      <c r="DT22" s="8">
        <f t="shared" ca="1" si="17"/>
        <v>8</v>
      </c>
      <c r="DU22" s="8">
        <f t="shared" ca="1" si="17"/>
        <v>3.2388059701492535</v>
      </c>
      <c r="ED22" s="6">
        <f>'graft2 exp'!A224</f>
        <v>75</v>
      </c>
      <c r="EE22" s="14">
        <f>'graft2 exp'!$B224</f>
        <v>0.6623</v>
      </c>
      <c r="EF22" s="14">
        <f>'graft2 exp'!$D224</f>
        <v>0.14530000000000001</v>
      </c>
      <c r="EG22" s="14">
        <f>'graft2 exp'!$F224</f>
        <v>0.16489999999999999</v>
      </c>
      <c r="EH22" s="14">
        <f>'graft2 exp'!$H224</f>
        <v>2.75E-2</v>
      </c>
      <c r="EK22" s="7"/>
      <c r="EL22" s="8"/>
      <c r="EM22" s="8"/>
      <c r="EN22" s="8"/>
      <c r="EO22" s="8"/>
      <c r="EV22" s="7">
        <f>mgmt!$A234</f>
        <v>0.18659999999999999</v>
      </c>
      <c r="EW22" s="14">
        <f>mgmt!B234</f>
        <v>0.72840000000000005</v>
      </c>
      <c r="EX22" s="14">
        <f>1.96*mgmt!C234</f>
        <v>7.9771999999999996E-2</v>
      </c>
      <c r="EY22" s="14">
        <f>mgmt!D234</f>
        <v>0.1275</v>
      </c>
      <c r="EZ22" s="14">
        <f>1.96*mgmt!E234</f>
        <v>6.9776000000000005E-2</v>
      </c>
      <c r="FA22" s="14">
        <f>mgmt!F234</f>
        <v>0.1173</v>
      </c>
      <c r="FB22" s="14">
        <f>1.96*mgmt!G234</f>
        <v>4.1356000000000004E-2</v>
      </c>
      <c r="FC22" s="14">
        <f>mgmt!H234</f>
        <v>2.6800000000000001E-2</v>
      </c>
      <c r="FD22" s="14">
        <f>1.96*mgmt!I234</f>
        <v>3.5672000000000002E-2</v>
      </c>
      <c r="FT22" s="6" t="str">
        <f ca="1">INDIRECT(CONCATENATE("'",$FT$1,"'!A")&amp;($FU$17+1))</f>
        <v>Shareholding company with non-traded shares or shares traded</v>
      </c>
      <c r="FU22">
        <f ca="1">INDIRECT(CONCATENATE("'",$FT$1,"'!B")&amp;($FU$17+1))</f>
        <v>0.63470000000000004</v>
      </c>
      <c r="FV22">
        <f ca="1">INDIRECT(CONCATENATE("'",$FT$1,"'!D")&amp;($FU$17+1))</f>
        <v>0.17949999999999999</v>
      </c>
      <c r="FW22">
        <f ca="1">INDIRECT(CONCATENATE("'",$FT$1,"'!F")&amp;($FU$17+1))</f>
        <v>0.17100000000000001</v>
      </c>
      <c r="FX22">
        <f ca="1">INDIRECT(CONCATENATE("'",$FT$1,"'!H")&amp;($FU$17+1))</f>
        <v>1.4800000000000001E-2</v>
      </c>
    </row>
    <row r="23" spans="1:180" x14ac:dyDescent="0.25">
      <c r="A23" s="6"/>
      <c r="K23" s="6"/>
      <c r="S23" s="6"/>
      <c r="T23" s="6"/>
      <c r="U23">
        <f ca="1">INDIRECT(CONCATENATE("'",$S$1,"'!D")&amp;($V$1+T22))</f>
        <v>-22.8445</v>
      </c>
      <c r="V23">
        <f ca="1">INDIRECT(CONCATENATE("'",$S$1,"'!G")&amp;($V$1+T22))</f>
        <v>-18.4528</v>
      </c>
      <c r="W23">
        <f ca="1">INDIRECT(CONCATENATE("'",$S$1,"'!J")&amp;($V$1+T22))</f>
        <v>0</v>
      </c>
      <c r="X23">
        <f ca="1">INDIRECT(CONCATENATE("'",$S$1,"'!M")&amp;($V$1+T22))</f>
        <v>0</v>
      </c>
      <c r="AO23" s="6"/>
      <c r="BH23" s="6">
        <f>b2a!A259</f>
        <v>17</v>
      </c>
      <c r="BI23" s="14">
        <f>b2a!B259</f>
        <v>0.49890000000000001</v>
      </c>
      <c r="BJ23" s="14">
        <f>b2a!D259</f>
        <v>0.18229999999999999</v>
      </c>
      <c r="BK23" s="14">
        <f>b2a!F259</f>
        <v>0.2702</v>
      </c>
      <c r="BL23" s="14">
        <f>b2a!H259</f>
        <v>4.8500000000000001E-2</v>
      </c>
      <c r="BZ23" s="6">
        <f>b4a!$A230</f>
        <v>12</v>
      </c>
      <c r="CA23" s="14">
        <f>b4a!$B230</f>
        <v>0.65539999999999998</v>
      </c>
      <c r="CB23" s="14">
        <f>b4a!$D230</f>
        <v>0.1714</v>
      </c>
      <c r="CC23" s="14">
        <f>b4a!$F230</f>
        <v>0.15629999999999999</v>
      </c>
      <c r="CD23" s="14">
        <f>b4a!$H230</f>
        <v>1.6799999999999999E-2</v>
      </c>
      <c r="CF23" s="6"/>
      <c r="CN23" s="6">
        <f>'b7'!$A232</f>
        <v>13</v>
      </c>
      <c r="CO23" s="14">
        <f>'b7'!$B232</f>
        <v>0.63690000000000002</v>
      </c>
      <c r="CP23" s="14">
        <f>'b7'!$D232</f>
        <v>0.18340000000000001</v>
      </c>
      <c r="CQ23" s="14">
        <f>'b7'!$F232</f>
        <v>0.16520000000000001</v>
      </c>
      <c r="CR23" s="14">
        <f>'b7'!$H232</f>
        <v>1.4500000000000001E-2</v>
      </c>
      <c r="CU23" s="6"/>
      <c r="DI23" s="6"/>
      <c r="DQ23" s="6"/>
      <c r="ED23" s="6">
        <f>'graft2 exp'!A225</f>
        <v>80</v>
      </c>
      <c r="EE23" s="14">
        <f>'graft2 exp'!$B225</f>
        <v>0.66390000000000005</v>
      </c>
      <c r="EF23" s="14">
        <f>'graft2 exp'!$D225</f>
        <v>0.14360000000000001</v>
      </c>
      <c r="EG23" s="14">
        <f>'graft2 exp'!$F225</f>
        <v>0.16370000000000001</v>
      </c>
      <c r="EH23" s="14">
        <f>'graft2 exp'!$H225</f>
        <v>2.87E-2</v>
      </c>
      <c r="EK23" s="6"/>
      <c r="EV23" s="7">
        <f>mgmt!$A235</f>
        <v>0.19980000000000001</v>
      </c>
      <c r="EW23" s="14">
        <f>mgmt!B235</f>
        <v>0.72599999999999998</v>
      </c>
      <c r="EX23" s="14">
        <f>1.96*mgmt!C235</f>
        <v>7.7616000000000004E-2</v>
      </c>
      <c r="EY23" s="14">
        <f>mgmt!D235</f>
        <v>0.12889999999999999</v>
      </c>
      <c r="EZ23" s="14">
        <f>1.96*mgmt!E235</f>
        <v>6.8207999999999991E-2</v>
      </c>
      <c r="FA23" s="14">
        <f>mgmt!F235</f>
        <v>0.1188</v>
      </c>
      <c r="FB23" s="14">
        <f>1.96*mgmt!G235</f>
        <v>4.0571999999999997E-2</v>
      </c>
      <c r="FC23" s="14">
        <f>mgmt!H235</f>
        <v>2.63E-2</v>
      </c>
      <c r="FD23" s="14">
        <f>1.96*mgmt!I235</f>
        <v>3.3908000000000001E-2</v>
      </c>
      <c r="FT23" s="6"/>
      <c r="FU23">
        <f ca="1">INDIRECT(CONCATENATE("'",$FT$1,"'!C")&amp;($FU$17+1))</f>
        <v>2.7699999999999999E-2</v>
      </c>
      <c r="FV23">
        <f ca="1">INDIRECT(CONCATENATE("'",$FT$1,"'!E")&amp;($FU$17+1))</f>
        <v>2.3800000000000002E-2</v>
      </c>
      <c r="FW23">
        <f ca="1">INDIRECT(CONCATENATE("'",$FT$1,"'!G")&amp;($FU$17+1))</f>
        <v>2.0899999999999998E-2</v>
      </c>
      <c r="FX23">
        <f ca="1">INDIRECT(CONCATENATE("'",$FT$1,"'!I")&amp;($FU$17+1))</f>
        <v>6.4999999999999997E-3</v>
      </c>
    </row>
    <row r="24" spans="1:180" x14ac:dyDescent="0.25">
      <c r="A24" s="6"/>
      <c r="K24" s="6"/>
      <c r="S24" s="6"/>
      <c r="T24" s="6"/>
      <c r="AO24" s="6"/>
      <c r="BH24" s="6">
        <f>b2a!A260</f>
        <v>18</v>
      </c>
      <c r="BI24" s="14">
        <f>b2a!B260</f>
        <v>0.50119999999999998</v>
      </c>
      <c r="BJ24" s="14">
        <f>b2a!D260</f>
        <v>0.18229999999999999</v>
      </c>
      <c r="BK24" s="14">
        <f>b2a!F260</f>
        <v>0.26860000000000001</v>
      </c>
      <c r="BL24" s="14">
        <f>b2a!H260</f>
        <v>4.7800000000000002E-2</v>
      </c>
      <c r="BZ24" s="6">
        <f>b4a!$A231</f>
        <v>13</v>
      </c>
      <c r="CA24" s="14">
        <f>b4a!$B231</f>
        <v>0.65600000000000003</v>
      </c>
      <c r="CB24" s="14">
        <f>b4a!$D231</f>
        <v>0.17100000000000001</v>
      </c>
      <c r="CC24" s="14">
        <f>b4a!$F231</f>
        <v>0.15629999999999999</v>
      </c>
      <c r="CD24" s="14">
        <f>b4a!$H231</f>
        <v>1.67E-2</v>
      </c>
      <c r="CN24" s="6">
        <f>'b7'!$A233</f>
        <v>14</v>
      </c>
      <c r="CO24" s="14">
        <f>'b7'!$B233</f>
        <v>0.63880000000000003</v>
      </c>
      <c r="CP24" s="14">
        <f>'b7'!$D233</f>
        <v>0.18190000000000001</v>
      </c>
      <c r="CQ24" s="14">
        <f>'b7'!$F233</f>
        <v>0.16470000000000001</v>
      </c>
      <c r="CR24" s="14">
        <f>'b7'!$H233</f>
        <v>1.46E-2</v>
      </c>
      <c r="CU24" s="7"/>
      <c r="CV24" s="8"/>
      <c r="CW24" s="8"/>
      <c r="CX24" s="8"/>
      <c r="CY24" s="8"/>
      <c r="CZ24" s="9"/>
      <c r="DA24" s="9"/>
      <c r="DB24" s="9"/>
      <c r="DC24" s="9"/>
      <c r="DD24" s="9"/>
      <c r="DE24" s="9"/>
      <c r="DF24" s="9"/>
      <c r="DG24" s="9"/>
      <c r="ED24" s="6">
        <f>'graft2 exp'!A226</f>
        <v>85.71</v>
      </c>
      <c r="EE24" s="14">
        <f>'graft2 exp'!$B226</f>
        <v>0.66569999999999996</v>
      </c>
      <c r="EF24" s="14">
        <f>'graft2 exp'!$D226</f>
        <v>0.14180000000000001</v>
      </c>
      <c r="EG24" s="14">
        <f>'graft2 exp'!$F226</f>
        <v>0.16239999999999999</v>
      </c>
      <c r="EH24" s="14">
        <f>'graft2 exp'!$H226</f>
        <v>3.0099999999999998E-2</v>
      </c>
      <c r="EK24" s="6"/>
      <c r="EV24" s="7">
        <f>mgmt!$A236</f>
        <v>0.2</v>
      </c>
      <c r="EW24" s="14">
        <f>mgmt!B236</f>
        <v>0.72599999999999998</v>
      </c>
      <c r="EX24" s="14">
        <f>1.96*mgmt!C236</f>
        <v>7.7616000000000004E-2</v>
      </c>
      <c r="EY24" s="14">
        <f>mgmt!D236</f>
        <v>0.12889999999999999</v>
      </c>
      <c r="EZ24" s="14">
        <f>1.96*mgmt!E236</f>
        <v>6.8207999999999991E-2</v>
      </c>
      <c r="FA24" s="14">
        <f>mgmt!F236</f>
        <v>0.1188</v>
      </c>
      <c r="FB24" s="14">
        <f>1.96*mgmt!G236</f>
        <v>4.0571999999999997E-2</v>
      </c>
      <c r="FC24" s="14">
        <f>mgmt!H236</f>
        <v>2.6200000000000001E-2</v>
      </c>
      <c r="FD24" s="14">
        <f>1.96*mgmt!I236</f>
        <v>3.3711999999999999E-2</v>
      </c>
      <c r="FT24" s="7"/>
      <c r="FU24" s="8">
        <f ca="1">FU22/FU23</f>
        <v>22.913357400722024</v>
      </c>
      <c r="FV24" s="8">
        <f ca="1">FV22/FV23</f>
        <v>7.542016806722688</v>
      </c>
      <c r="FW24" s="8">
        <f ca="1">FW22/FW23</f>
        <v>8.1818181818181834</v>
      </c>
      <c r="FX24" s="8">
        <f ca="1">FX22/FX23</f>
        <v>2.2769230769230773</v>
      </c>
    </row>
    <row r="25" spans="1:180" x14ac:dyDescent="0.25">
      <c r="S25" t="s">
        <v>121</v>
      </c>
      <c r="V25">
        <v>228</v>
      </c>
      <c r="AO25" s="7"/>
      <c r="AP25" s="8"/>
      <c r="AQ25" s="8"/>
      <c r="AR25" s="8"/>
      <c r="AS25" s="8"/>
      <c r="BH25" s="6">
        <f>b2a!A261</f>
        <v>20</v>
      </c>
      <c r="BI25" s="14">
        <f>b2a!B261</f>
        <v>0.50580000000000003</v>
      </c>
      <c r="BJ25" s="14">
        <f>b2a!D261</f>
        <v>0.1822</v>
      </c>
      <c r="BK25" s="14">
        <f>b2a!F261</f>
        <v>0.26540000000000002</v>
      </c>
      <c r="BL25" s="14">
        <f>b2a!H261</f>
        <v>4.65E-2</v>
      </c>
      <c r="BZ25" s="6">
        <f>b4a!$A232</f>
        <v>14</v>
      </c>
      <c r="CA25" s="14">
        <f>b4a!$B232</f>
        <v>0.65649999999999997</v>
      </c>
      <c r="CB25" s="14">
        <f>b4a!$D232</f>
        <v>0.17069999999999999</v>
      </c>
      <c r="CC25" s="14">
        <f>b4a!$F232</f>
        <v>0.15620000000000001</v>
      </c>
      <c r="CD25" s="14">
        <f>b4a!$H232</f>
        <v>1.66E-2</v>
      </c>
      <c r="CN25" s="6">
        <f>'b7'!$A234</f>
        <v>15</v>
      </c>
      <c r="CO25" s="14">
        <f>'b7'!$B234</f>
        <v>0.64070000000000005</v>
      </c>
      <c r="CP25" s="14">
        <f>'b7'!$D234</f>
        <v>0.18029999999999999</v>
      </c>
      <c r="CQ25" s="14">
        <f>'b7'!$F234</f>
        <v>0.16420000000000001</v>
      </c>
      <c r="CR25" s="14">
        <f>'b7'!$H234</f>
        <v>1.4800000000000001E-2</v>
      </c>
      <c r="CU25" s="6"/>
      <c r="ED25" s="6">
        <f>'graft2 exp'!A227</f>
        <v>100</v>
      </c>
      <c r="EE25" s="14">
        <f>'graft2 exp'!$B227</f>
        <v>0.66979999999999995</v>
      </c>
      <c r="EF25" s="14">
        <f>'graft2 exp'!$D227</f>
        <v>0.1371</v>
      </c>
      <c r="EG25" s="14">
        <f>'graft2 exp'!$F227</f>
        <v>0.15920000000000001</v>
      </c>
      <c r="EH25" s="14">
        <f>'graft2 exp'!$H227</f>
        <v>3.39E-2</v>
      </c>
      <c r="EV25" s="7">
        <f>mgmt!$A237</f>
        <v>0.2132</v>
      </c>
      <c r="EW25" s="14">
        <f>mgmt!B237</f>
        <v>0.72360000000000002</v>
      </c>
      <c r="EX25" s="14">
        <f>1.96*mgmt!C237</f>
        <v>7.5459999999999999E-2</v>
      </c>
      <c r="EY25" s="14">
        <f>mgmt!D237</f>
        <v>0.1303</v>
      </c>
      <c r="EZ25" s="14">
        <f>1.96*mgmt!E237</f>
        <v>6.6640000000000005E-2</v>
      </c>
      <c r="FA25" s="14">
        <f>mgmt!F237</f>
        <v>0.1203</v>
      </c>
      <c r="FB25" s="14">
        <f>1.96*mgmt!G237</f>
        <v>3.9787999999999997E-2</v>
      </c>
      <c r="FC25" s="14">
        <f>mgmt!H237</f>
        <v>2.5700000000000001E-2</v>
      </c>
      <c r="FD25" s="14">
        <f>1.96*mgmt!I237</f>
        <v>3.1947999999999997E-2</v>
      </c>
      <c r="FT25" s="6" t="str">
        <f ca="1">INDIRECT(CONCATENATE("'",$FT$1,"'!A")&amp;($FU$17+2))</f>
        <v>Sole proprietorship</v>
      </c>
      <c r="FU25">
        <f ca="1">INDIRECT(CONCATENATE("'",$FT$1,"'!B")&amp;($FU$17+2))</f>
        <v>0.69650000000000001</v>
      </c>
      <c r="FV25">
        <f ca="1">INDIRECT(CONCATENATE("'",$FT$1,"'!D")&amp;($FU$17+2))</f>
        <v>0.20580000000000001</v>
      </c>
      <c r="FW25">
        <f ca="1">INDIRECT(CONCATENATE("'",$FT$1,"'!F")&amp;($FU$17+2))</f>
        <v>0.09</v>
      </c>
      <c r="FX25">
        <f ca="1">INDIRECT(CONCATENATE("'",$FT$1,"'!H")&amp;($FU$17+2))</f>
        <v>7.7000000000000002E-3</v>
      </c>
    </row>
    <row r="26" spans="1:180" x14ac:dyDescent="0.25">
      <c r="U26" s="6" t="s">
        <v>120</v>
      </c>
      <c r="V26" s="6" t="str">
        <f ca="1">CONCATENATE("Cluster ",INDIRECT(CONCATENATE("'",$S$1,"'!B")&amp;($V$25-1)))</f>
        <v>Cluster 1</v>
      </c>
      <c r="W26" s="6" t="str">
        <f ca="1">CONCATENATE("Cluster ",INDIRECT(CONCATENATE("'",$S$1,"'!D")&amp;($V$25-1)))</f>
        <v>Cluster 2</v>
      </c>
      <c r="X26" s="6" t="str">
        <f ca="1">CONCATENATE("Cluster ",INDIRECT(CONCATENATE("'",$S$1,"'!F")&amp;($V$25-1)))</f>
        <v>Cluster 3</v>
      </c>
      <c r="Y26" s="6" t="str">
        <f ca="1">CONCATENATE("Cluster ",INDIRECT(CONCATENATE("'",$S$1,"'!H")&amp;($V$25-1)))</f>
        <v>Cluster 4</v>
      </c>
      <c r="AB26" s="6" t="str">
        <f ca="1">CONCATENATE("Cluster ",INDIRECT(CONCATENATE("'",$S$1,"'!B")&amp;($V$25-1)))</f>
        <v>Cluster 1</v>
      </c>
      <c r="AC26" s="6" t="str">
        <f ca="1">CONCATENATE("Cluster ",INDIRECT(CONCATENATE("'",$S$1,"'!D")&amp;($V$25-1)))</f>
        <v>Cluster 2</v>
      </c>
      <c r="AD26" s="6" t="str">
        <f ca="1">CONCATENATE("Cluster ",INDIRECT(CONCATENATE("'",$S$1,"'!F")&amp;($V$25-1)))</f>
        <v>Cluster 3</v>
      </c>
      <c r="AE26" s="6" t="str">
        <f ca="1">CONCATENATE("Cluster ",INDIRECT(CONCATENATE("'",$S$1,"'!H")&amp;($V$25-1)))</f>
        <v>Cluster 4</v>
      </c>
      <c r="BH26" s="6">
        <f>b2a!A262</f>
        <v>24</v>
      </c>
      <c r="BI26" s="14">
        <f>b2a!B262</f>
        <v>0.51490000000000002</v>
      </c>
      <c r="BJ26" s="14">
        <f>b2a!D262</f>
        <v>0.182</v>
      </c>
      <c r="BK26" s="14">
        <f>b2a!F262</f>
        <v>0.2591</v>
      </c>
      <c r="BL26" s="14">
        <f>b2a!H262</f>
        <v>4.3900000000000002E-2</v>
      </c>
      <c r="BZ26" s="6">
        <f>b4a!$A233</f>
        <v>15</v>
      </c>
      <c r="CA26" s="14">
        <f>b4a!$B233</f>
        <v>0.65710000000000002</v>
      </c>
      <c r="CB26" s="14">
        <f>b4a!$D233</f>
        <v>0.17030000000000001</v>
      </c>
      <c r="CC26" s="14">
        <f>b4a!$F233</f>
        <v>0.15609999999999999</v>
      </c>
      <c r="CD26" s="14">
        <f>b4a!$H233</f>
        <v>1.6500000000000001E-2</v>
      </c>
      <c r="CN26" s="6">
        <f>'b7'!$A235</f>
        <v>16</v>
      </c>
      <c r="CO26" s="14">
        <f>'b7'!$B235</f>
        <v>0.64259999999999995</v>
      </c>
      <c r="CP26" s="14">
        <f>'b7'!$D235</f>
        <v>0.17879999999999999</v>
      </c>
      <c r="CQ26" s="14">
        <f>'b7'!$F235</f>
        <v>0.16370000000000001</v>
      </c>
      <c r="CR26" s="14">
        <f>'b7'!$H235</f>
        <v>1.4999999999999999E-2</v>
      </c>
      <c r="CU26" s="6"/>
      <c r="ED26" s="6"/>
      <c r="EE26" s="14"/>
      <c r="EF26" s="14"/>
      <c r="EG26" s="14"/>
      <c r="EH26" s="14"/>
      <c r="EV26" s="7">
        <f>mgmt!$A238</f>
        <v>0.21340000000000001</v>
      </c>
      <c r="EW26" s="14">
        <f>mgmt!B238</f>
        <v>0.72360000000000002</v>
      </c>
      <c r="EX26" s="14">
        <f>1.96*mgmt!C238</f>
        <v>7.5263999999999998E-2</v>
      </c>
      <c r="EY26" s="14">
        <f>mgmt!D238</f>
        <v>0.1303</v>
      </c>
      <c r="EZ26" s="14">
        <f>1.96*mgmt!E238</f>
        <v>6.6640000000000005E-2</v>
      </c>
      <c r="FA26" s="14">
        <f>mgmt!F238</f>
        <v>0.12039999999999999</v>
      </c>
      <c r="FB26" s="14">
        <f>1.96*mgmt!G238</f>
        <v>3.9787999999999997E-2</v>
      </c>
      <c r="FC26" s="14">
        <f>mgmt!H238</f>
        <v>2.5700000000000001E-2</v>
      </c>
      <c r="FD26" s="14">
        <f>1.96*mgmt!I238</f>
        <v>3.1947999999999997E-2</v>
      </c>
      <c r="FT26" s="6"/>
      <c r="FU26">
        <f ca="1">INDIRECT(CONCATENATE("'",$FT$1,"'!C")&amp;($FU$17+2))</f>
        <v>5.2499999999999998E-2</v>
      </c>
      <c r="FV26">
        <f ca="1">INDIRECT(CONCATENATE("'",$FT$1,"'!E")&amp;($FU$17+2))</f>
        <v>5.4800000000000001E-2</v>
      </c>
      <c r="FW26">
        <f ca="1">INDIRECT(CONCATENATE("'",$FT$1,"'!G")&amp;($FU$17+2))</f>
        <v>1.9900000000000001E-2</v>
      </c>
      <c r="FX26">
        <f ca="1">INDIRECT(CONCATENATE("'",$FT$1,"'!I")&amp;($FU$17+2))</f>
        <v>4.5999999999999999E-3</v>
      </c>
    </row>
    <row r="27" spans="1:180" x14ac:dyDescent="0.25">
      <c r="V27" s="6" t="s">
        <v>286</v>
      </c>
      <c r="W27" s="6" t="s">
        <v>288</v>
      </c>
      <c r="X27" s="6" t="s">
        <v>289</v>
      </c>
      <c r="Y27" s="6" t="s">
        <v>287</v>
      </c>
      <c r="AA27" t="s">
        <v>273</v>
      </c>
      <c r="AB27" s="26">
        <f ca="1">MIN(V28,V30,V32,V34,V36,V38,V40,V42,V44,V46)</f>
        <v>0.50609999999999999</v>
      </c>
      <c r="AC27">
        <f ca="1">MIN(W28,W30,W32,W34,W36,W38,W40,W42,W44,W46)</f>
        <v>0.11799999999999999</v>
      </c>
      <c r="AD27">
        <f ca="1">MIN(X28,X30,X32,X34,X36,X38,X40,X42,X44,X46)</f>
        <v>7.4999999999999997E-2</v>
      </c>
      <c r="AE27">
        <f ca="1">MIN(Y28,Y30,Y32,Y34,Y36,Y38,Y40,Y42,Y44,Y46)</f>
        <v>0</v>
      </c>
      <c r="BH27" s="6">
        <f>b2a!A263</f>
        <v>25</v>
      </c>
      <c r="BI27" s="14">
        <f>b2a!B263</f>
        <v>0.51719999999999999</v>
      </c>
      <c r="BJ27" s="14">
        <f>b2a!D263</f>
        <v>0.182</v>
      </c>
      <c r="BK27" s="14">
        <f>b2a!F263</f>
        <v>0.25750000000000001</v>
      </c>
      <c r="BL27" s="14">
        <f>b2a!H263</f>
        <v>4.3299999999999998E-2</v>
      </c>
      <c r="BZ27" s="6">
        <f>b4a!$A234</f>
        <v>16</v>
      </c>
      <c r="CA27" s="14">
        <f>b4a!$B234</f>
        <v>0.65769999999999995</v>
      </c>
      <c r="CB27" s="14">
        <f>b4a!$D234</f>
        <v>0.1699</v>
      </c>
      <c r="CC27" s="14">
        <f>b4a!$F234</f>
        <v>0.156</v>
      </c>
      <c r="CD27" s="14">
        <f>b4a!$H234</f>
        <v>1.6500000000000001E-2</v>
      </c>
      <c r="CN27" s="6">
        <f>'b7'!$A236</f>
        <v>17</v>
      </c>
      <c r="CO27" s="14">
        <f>'b7'!$B236</f>
        <v>0.64439999999999997</v>
      </c>
      <c r="CP27" s="14">
        <f>'b7'!$D236</f>
        <v>0.1772</v>
      </c>
      <c r="CQ27" s="14">
        <f>'b7'!$F236</f>
        <v>0.16320000000000001</v>
      </c>
      <c r="CR27" s="14">
        <f>'b7'!$H236</f>
        <v>1.5100000000000001E-2</v>
      </c>
      <c r="CU27" s="7"/>
      <c r="CV27" s="8"/>
      <c r="CW27" s="8"/>
      <c r="CX27" s="8"/>
      <c r="CY27" s="8"/>
      <c r="CZ27" s="9"/>
      <c r="DA27" s="9"/>
      <c r="DB27" s="9"/>
      <c r="DC27" s="9"/>
      <c r="DD27" s="9"/>
      <c r="DE27" s="9"/>
      <c r="DF27" s="9"/>
      <c r="DG27" s="9"/>
      <c r="ED27" s="6"/>
      <c r="EE27" s="14"/>
      <c r="EF27" s="14"/>
      <c r="EG27" s="14"/>
      <c r="EH27" s="14"/>
      <c r="EV27" s="7">
        <f>mgmt!$A239</f>
        <v>0.21659999999999999</v>
      </c>
      <c r="EW27" s="14">
        <f>mgmt!B239</f>
        <v>0.72299999999999998</v>
      </c>
      <c r="EX27" s="14">
        <f>1.96*mgmt!C239</f>
        <v>7.4871999999999994E-2</v>
      </c>
      <c r="EY27" s="14">
        <f>mgmt!D239</f>
        <v>0.13070000000000001</v>
      </c>
      <c r="EZ27" s="14">
        <f>1.96*mgmt!E239</f>
        <v>6.6247999999999987E-2</v>
      </c>
      <c r="FA27" s="14">
        <f>mgmt!F239</f>
        <v>0.1207</v>
      </c>
      <c r="FB27" s="14">
        <f>1.96*mgmt!G239</f>
        <v>3.9591999999999995E-2</v>
      </c>
      <c r="FC27" s="14">
        <f>mgmt!H239</f>
        <v>2.5600000000000001E-2</v>
      </c>
      <c r="FD27" s="14">
        <f>1.96*mgmt!I239</f>
        <v>3.1556000000000001E-2</v>
      </c>
      <c r="FT27" s="7"/>
      <c r="FU27" s="8">
        <f ca="1">FU25/FU26</f>
        <v>13.266666666666667</v>
      </c>
      <c r="FV27" s="8">
        <f ca="1">FV25/FV26</f>
        <v>3.7554744525547448</v>
      </c>
      <c r="FW27" s="8">
        <f ca="1">FW25/FW26</f>
        <v>4.5226130653266328</v>
      </c>
      <c r="FX27" s="8">
        <f ca="1">FX25/FX26</f>
        <v>1.673913043478261</v>
      </c>
    </row>
    <row r="28" spans="1:180" x14ac:dyDescent="0.25">
      <c r="S28" s="6" t="s">
        <v>275</v>
      </c>
      <c r="T28" s="6">
        <v>1</v>
      </c>
      <c r="U28" s="6">
        <f ca="1">INDIRECT(CONCATENATE("'",$S$1,"'!A")&amp;($V$1+T28))</f>
        <v>1516</v>
      </c>
      <c r="V28" s="9">
        <f ca="1">INDIRECT(CONCATENATE("'",$S$1,"'!B")&amp;($V$25+T28))</f>
        <v>0.74419999999999997</v>
      </c>
      <c r="W28" s="9">
        <f ca="1">INDIRECT(CONCATENATE("'",$S$1,"'!D")&amp;($V$25+T28))</f>
        <v>0.11799999999999999</v>
      </c>
      <c r="X28" s="9">
        <f ca="1">INDIRECT(CONCATENATE("'",$S$1,"'!F")&amp;($V$25+T28))</f>
        <v>0.1144</v>
      </c>
      <c r="Y28" s="9">
        <f ca="1">INDIRECT(CONCATENATE("'",$S$1,"'!H")&amp;($V$25+T28))</f>
        <v>2.3300000000000001E-2</v>
      </c>
      <c r="AA28" t="s">
        <v>274</v>
      </c>
      <c r="AB28">
        <f ca="1">MAX(V28,V30,V32,V34,V36,V38,V40,V42,V44,V46)</f>
        <v>0.74419999999999997</v>
      </c>
      <c r="AC28">
        <f ca="1">MAX(W28,W30,W32,W34,W36,W38,W40,W42,W44,W46)</f>
        <v>0.29509999999999997</v>
      </c>
      <c r="AD28">
        <f ca="1">MAX(X28,X30,X32,X34,X36,X38,X40,X42,X44,X46)</f>
        <v>0.3246</v>
      </c>
      <c r="AE28">
        <f ca="1">MAX(Y28,Y30,Y32,Y34,Y36,Y38,Y40,Y42,Y44,Y46)</f>
        <v>5.91E-2</v>
      </c>
      <c r="BH28" s="6">
        <f>b2a!A264</f>
        <v>27</v>
      </c>
      <c r="BI28" s="14">
        <f>b2a!B264</f>
        <v>0.52170000000000005</v>
      </c>
      <c r="BJ28" s="14">
        <f>b2a!D264</f>
        <v>0.18179999999999999</v>
      </c>
      <c r="BK28" s="14">
        <f>b2a!F264</f>
        <v>0.25440000000000002</v>
      </c>
      <c r="BL28" s="14">
        <f>b2a!H264</f>
        <v>4.2099999999999999E-2</v>
      </c>
      <c r="BZ28" s="6">
        <f>b4a!$A235</f>
        <v>17</v>
      </c>
      <c r="CA28" s="14">
        <f>b4a!$B235</f>
        <v>0.65820000000000001</v>
      </c>
      <c r="CB28" s="14">
        <f>b4a!$D235</f>
        <v>0.1696</v>
      </c>
      <c r="CC28" s="14">
        <f>b4a!$F235</f>
        <v>0.15590000000000001</v>
      </c>
      <c r="CD28" s="14">
        <f>b4a!$H235</f>
        <v>1.6400000000000001E-2</v>
      </c>
      <c r="CN28" s="6">
        <f>'b7'!$A237</f>
        <v>18</v>
      </c>
      <c r="CO28" s="14">
        <f>'b7'!$B237</f>
        <v>0.64629999999999999</v>
      </c>
      <c r="CP28" s="14">
        <f>'b7'!$D237</f>
        <v>0.1757</v>
      </c>
      <c r="CQ28" s="14">
        <f>'b7'!$F237</f>
        <v>0.16270000000000001</v>
      </c>
      <c r="CR28" s="14">
        <f>'b7'!$H237</f>
        <v>1.5299999999999999E-2</v>
      </c>
      <c r="EV28" s="7">
        <f>mgmt!$A240</f>
        <v>0.22339999999999999</v>
      </c>
      <c r="EW28" s="14">
        <f>mgmt!B240</f>
        <v>0.7218</v>
      </c>
      <c r="EX28" s="14">
        <f>1.96*mgmt!C240</f>
        <v>7.3695999999999998E-2</v>
      </c>
      <c r="EY28" s="14">
        <f>mgmt!D240</f>
        <v>0.13139999999999999</v>
      </c>
      <c r="EZ28" s="14">
        <f>1.96*mgmt!E240</f>
        <v>6.5268000000000007E-2</v>
      </c>
      <c r="FA28" s="14">
        <f>mgmt!F240</f>
        <v>0.1215</v>
      </c>
      <c r="FB28" s="14">
        <f>1.96*mgmt!G240</f>
        <v>3.9396E-2</v>
      </c>
      <c r="FC28" s="14">
        <f>mgmt!H240</f>
        <v>2.53E-2</v>
      </c>
      <c r="FD28" s="14">
        <f>1.96*mgmt!I240</f>
        <v>3.0575999999999999E-2</v>
      </c>
      <c r="FT28" s="6" t="str">
        <f ca="1">INDIRECT(CONCATENATE("'",$FT$1,"'!A")&amp;($FU$17+3))</f>
        <v>Limited partnership</v>
      </c>
      <c r="FU28">
        <f ca="1">INDIRECT(CONCATENATE("'",$FT$1,"'!B")&amp;($FU$17+3))</f>
        <v>0.67249999999999999</v>
      </c>
      <c r="FV28">
        <f ca="1">INDIRECT(CONCATENATE("'",$FT$1,"'!D")&amp;($FU$17+3))</f>
        <v>0.14910000000000001</v>
      </c>
      <c r="FW28">
        <f ca="1">INDIRECT(CONCATENATE("'",$FT$1,"'!F")&amp;($FU$17+3))</f>
        <v>0.1628</v>
      </c>
      <c r="FX28">
        <f ca="1">INDIRECT(CONCATENATE("'",$FT$1,"'!H")&amp;($FU$17+3))</f>
        <v>1.5599999999999999E-2</v>
      </c>
    </row>
    <row r="29" spans="1:180" x14ac:dyDescent="0.25">
      <c r="S29" s="6"/>
      <c r="T29" s="6"/>
      <c r="U29" s="6"/>
      <c r="V29" s="9">
        <f ca="1">INDIRECT(CONCATENATE("'",$S$1,"'!C")&amp;($V$25+T28))</f>
        <v>4.07E-2</v>
      </c>
      <c r="W29" s="9">
        <f ca="1">INDIRECT(CONCATENATE("'",$S$1,"'!E")&amp;($V$25+T28))</f>
        <v>2.8000000000000001E-2</v>
      </c>
      <c r="X29" s="9">
        <f ca="1">INDIRECT(CONCATENATE("'",$S$1,"'!G")&amp;($V$25+T28))</f>
        <v>2.6800000000000001E-2</v>
      </c>
      <c r="Y29" s="9">
        <f ca="1">INDIRECT(CONCATENATE("'",$S$1,"'!I")&amp;($V$25+T28))</f>
        <v>2.2200000000000001E-2</v>
      </c>
      <c r="BH29" s="6">
        <f>b2a!A265</f>
        <v>28</v>
      </c>
      <c r="BI29" s="14">
        <f>b2a!B265</f>
        <v>0.52400000000000002</v>
      </c>
      <c r="BJ29" s="14">
        <f>b2a!D265</f>
        <v>0.1817</v>
      </c>
      <c r="BK29" s="14">
        <f>b2a!F265</f>
        <v>0.25280000000000002</v>
      </c>
      <c r="BL29" s="14">
        <f>b2a!H265</f>
        <v>4.1500000000000002E-2</v>
      </c>
      <c r="BZ29" s="6">
        <f>b4a!$A236</f>
        <v>18</v>
      </c>
      <c r="CA29" s="14">
        <f>b4a!$B236</f>
        <v>0.65880000000000005</v>
      </c>
      <c r="CB29" s="14">
        <f>b4a!$D236</f>
        <v>0.16919999999999999</v>
      </c>
      <c r="CC29" s="14">
        <f>b4a!$F236</f>
        <v>0.15579999999999999</v>
      </c>
      <c r="CD29" s="14">
        <f>b4a!$H236</f>
        <v>1.6299999999999999E-2</v>
      </c>
      <c r="CN29" s="6">
        <f>'b7'!$A238</f>
        <v>19</v>
      </c>
      <c r="CO29" s="14">
        <f>'b7'!$B238</f>
        <v>0.64810000000000001</v>
      </c>
      <c r="CP29" s="14">
        <f>'b7'!$D238</f>
        <v>0.17419999999999999</v>
      </c>
      <c r="CQ29" s="14">
        <f>'b7'!$F238</f>
        <v>0.16220000000000001</v>
      </c>
      <c r="CR29" s="14">
        <f>'b7'!$H238</f>
        <v>1.55E-2</v>
      </c>
      <c r="EV29" s="7">
        <f>mgmt!$A241</f>
        <v>0.2266</v>
      </c>
      <c r="EW29" s="14">
        <f>mgmt!B241</f>
        <v>0.72119999999999995</v>
      </c>
      <c r="EX29" s="14">
        <f>1.96*mgmt!C241</f>
        <v>7.3107999999999992E-2</v>
      </c>
      <c r="EY29" s="14">
        <f>mgmt!D241</f>
        <v>0.13170000000000001</v>
      </c>
      <c r="EZ29" s="14">
        <f>1.96*mgmt!E241</f>
        <v>6.4875999999999989E-2</v>
      </c>
      <c r="FA29" s="14">
        <f>mgmt!F241</f>
        <v>0.12189999999999999</v>
      </c>
      <c r="FB29" s="14">
        <f>1.96*mgmt!G241</f>
        <v>3.9199999999999999E-2</v>
      </c>
      <c r="FC29" s="14">
        <f>mgmt!H241</f>
        <v>2.52E-2</v>
      </c>
      <c r="FD29" s="14">
        <f>1.96*mgmt!I241</f>
        <v>3.0183999999999999E-2</v>
      </c>
      <c r="FT29" s="6"/>
      <c r="FU29">
        <f ca="1">INDIRECT(CONCATENATE("'",$FT$1,"'!C")&amp;($FU$17+3))</f>
        <v>3.1099999999999999E-2</v>
      </c>
      <c r="FV29">
        <f ca="1">INDIRECT(CONCATENATE("'",$FT$1,"'!E")&amp;($FU$17+3))</f>
        <v>2.6100000000000002E-2</v>
      </c>
      <c r="FW29">
        <f ca="1">INDIRECT(CONCATENATE("'",$FT$1,"'!G")&amp;($FU$17+3))</f>
        <v>2.4E-2</v>
      </c>
      <c r="FX29">
        <f ca="1">INDIRECT(CONCATENATE("'",$FT$1,"'!I")&amp;($FU$17+3))</f>
        <v>6.4000000000000003E-3</v>
      </c>
    </row>
    <row r="30" spans="1:180" x14ac:dyDescent="0.25">
      <c r="S30" s="6" t="s">
        <v>278</v>
      </c>
      <c r="T30" s="6">
        <v>4</v>
      </c>
      <c r="U30" s="6">
        <f ca="1">INDIRECT(CONCATENATE("'",$S$1,"'!A")&amp;($V$1+T30))</f>
        <v>171819</v>
      </c>
      <c r="V30" s="9">
        <f ca="1">INDIRECT(CONCATENATE("'",$S$1,"'!B")&amp;($V$25+T30))</f>
        <v>0.66549999999999998</v>
      </c>
      <c r="W30" s="9">
        <f ca="1">INDIRECT(CONCATENATE("'",$S$1,"'!D")&amp;($V$25+T30))</f>
        <v>0.1971</v>
      </c>
      <c r="X30" s="9">
        <f ca="1">INDIRECT(CONCATENATE("'",$S$1,"'!F")&amp;($V$25+T30))</f>
        <v>0.1242</v>
      </c>
      <c r="Y30" s="9">
        <f ca="1">INDIRECT(CONCATENATE("'",$S$1,"'!H")&amp;($V$25+T30))</f>
        <v>1.32E-2</v>
      </c>
      <c r="BH30" s="6">
        <f>b2a!A266</f>
        <v>30</v>
      </c>
      <c r="BI30" s="14">
        <f>b2a!B266</f>
        <v>0.52839999999999998</v>
      </c>
      <c r="BJ30" s="14">
        <f>b2a!D266</f>
        <v>0.18160000000000001</v>
      </c>
      <c r="BK30" s="14">
        <f>b2a!F266</f>
        <v>0.24970000000000001</v>
      </c>
      <c r="BL30" s="14">
        <f>b2a!H266</f>
        <v>4.0300000000000002E-2</v>
      </c>
      <c r="BZ30" s="6">
        <f>b4a!$A237</f>
        <v>19</v>
      </c>
      <c r="CA30" s="14">
        <f>b4a!$B237</f>
        <v>0.6593</v>
      </c>
      <c r="CB30" s="14">
        <f>b4a!$D237</f>
        <v>0.16880000000000001</v>
      </c>
      <c r="CC30" s="14">
        <f>b4a!$F237</f>
        <v>0.15570000000000001</v>
      </c>
      <c r="CD30" s="14">
        <f>b4a!$H237</f>
        <v>1.6199999999999999E-2</v>
      </c>
      <c r="CN30" s="6">
        <f>'b7'!$A239</f>
        <v>20</v>
      </c>
      <c r="CO30" s="14">
        <f>'b7'!$B239</f>
        <v>0.64990000000000003</v>
      </c>
      <c r="CP30" s="14">
        <f>'b7'!$D239</f>
        <v>0.1726</v>
      </c>
      <c r="CQ30" s="14">
        <f>'b7'!$F239</f>
        <v>0.16170000000000001</v>
      </c>
      <c r="CR30" s="14">
        <f>'b7'!$H239</f>
        <v>1.5699999999999999E-2</v>
      </c>
      <c r="CZ30" s="9"/>
      <c r="DA30" s="9"/>
      <c r="DB30" s="9"/>
      <c r="DC30" s="9"/>
      <c r="DD30" s="9"/>
      <c r="DE30" s="9"/>
      <c r="DF30" s="9"/>
      <c r="DG30" s="9"/>
      <c r="EV30" s="7">
        <f>mgmt!$A242</f>
        <v>0.24</v>
      </c>
      <c r="EW30" s="14">
        <f>mgmt!B242</f>
        <v>0.71870000000000001</v>
      </c>
      <c r="EX30" s="14">
        <f>1.96*mgmt!C242</f>
        <v>7.0952000000000001E-2</v>
      </c>
      <c r="EY30" s="14">
        <f>mgmt!D242</f>
        <v>0.1331</v>
      </c>
      <c r="EZ30" s="14">
        <f>1.96*mgmt!E242</f>
        <v>6.3308000000000003E-2</v>
      </c>
      <c r="FA30" s="14">
        <f>mgmt!F242</f>
        <v>0.1234</v>
      </c>
      <c r="FB30" s="14">
        <f>1.96*mgmt!G242</f>
        <v>3.8415999999999999E-2</v>
      </c>
      <c r="FC30" s="14">
        <f>mgmt!H242</f>
        <v>2.47E-2</v>
      </c>
      <c r="FD30" s="14">
        <f>1.96*mgmt!I242</f>
        <v>2.8420000000000001E-2</v>
      </c>
      <c r="FT30" s="7"/>
      <c r="FU30" s="8">
        <f ca="1">FU28/FU29</f>
        <v>21.623794212218648</v>
      </c>
      <c r="FV30" s="8">
        <f ca="1">FV28/FV29</f>
        <v>5.7126436781609193</v>
      </c>
      <c r="FW30" s="8">
        <f ca="1">FW28/FW29</f>
        <v>6.7833333333333332</v>
      </c>
      <c r="FX30" s="8">
        <f ca="1">FX28/FX29</f>
        <v>2.4374999999999996</v>
      </c>
    </row>
    <row r="31" spans="1:180" x14ac:dyDescent="0.25">
      <c r="S31" s="6"/>
      <c r="T31" s="6"/>
      <c r="U31" s="6"/>
      <c r="V31" s="9">
        <f ca="1">INDIRECT(CONCATENATE("'",$S$1,"'!C")&amp;($V$25+T30))</f>
        <v>6.9099999999999995E-2</v>
      </c>
      <c r="W31" s="9">
        <f ca="1">INDIRECT(CONCATENATE("'",$S$1,"'!E")&amp;($V$25+T30))</f>
        <v>7.3999999999999996E-2</v>
      </c>
      <c r="X31" s="9">
        <f ca="1">INDIRECT(CONCATENATE("'",$S$1,"'!G")&amp;($V$25+T30))</f>
        <v>3.2399999999999998E-2</v>
      </c>
      <c r="Y31" s="9">
        <f ca="1">INDIRECT(CONCATENATE("'",$S$1,"'!I")&amp;($V$25+T30))</f>
        <v>8.0999999999999996E-3</v>
      </c>
      <c r="BH31" s="6">
        <f>b2a!A267</f>
        <v>33</v>
      </c>
      <c r="BI31" s="14">
        <f>b2a!B267</f>
        <v>0.53510000000000002</v>
      </c>
      <c r="BJ31" s="14">
        <f>b2a!D267</f>
        <v>0.18129999999999999</v>
      </c>
      <c r="BK31" s="14">
        <f>b2a!F267</f>
        <v>0.245</v>
      </c>
      <c r="BL31" s="14">
        <f>b2a!H267</f>
        <v>3.8600000000000002E-2</v>
      </c>
      <c r="BZ31" s="6">
        <f>b4a!$A238</f>
        <v>20</v>
      </c>
      <c r="CA31" s="14">
        <f>b4a!$B238</f>
        <v>0.65990000000000004</v>
      </c>
      <c r="CB31" s="14">
        <f>b4a!$D238</f>
        <v>0.16850000000000001</v>
      </c>
      <c r="CC31" s="14">
        <f>b4a!$F238</f>
        <v>0.15559999999999999</v>
      </c>
      <c r="CD31" s="14">
        <f>b4a!$H238</f>
        <v>1.61E-2</v>
      </c>
      <c r="CN31" s="6">
        <f>'b7'!$A240</f>
        <v>21</v>
      </c>
      <c r="CO31" s="14">
        <f>'b7'!$B240</f>
        <v>0.65180000000000005</v>
      </c>
      <c r="CP31" s="14">
        <f>'b7'!$D240</f>
        <v>0.1711</v>
      </c>
      <c r="CQ31" s="14">
        <f>'b7'!$F240</f>
        <v>0.16120000000000001</v>
      </c>
      <c r="CR31" s="14">
        <f>'b7'!$H240</f>
        <v>1.5900000000000001E-2</v>
      </c>
      <c r="EV31" s="7">
        <f>mgmt!$A243</f>
        <v>0.25</v>
      </c>
      <c r="EW31" s="14">
        <f>mgmt!B243</f>
        <v>0.71689999999999998</v>
      </c>
      <c r="EX31" s="14">
        <f>1.96*mgmt!C243</f>
        <v>6.9384000000000001E-2</v>
      </c>
      <c r="EY31" s="14">
        <f>mgmt!D243</f>
        <v>0.13420000000000001</v>
      </c>
      <c r="EZ31" s="14">
        <f>1.96*mgmt!E243</f>
        <v>6.1936000000000005E-2</v>
      </c>
      <c r="FA31" s="14">
        <f>mgmt!F243</f>
        <v>0.1246</v>
      </c>
      <c r="FB31" s="14">
        <f>1.96*mgmt!G243</f>
        <v>3.7828000000000001E-2</v>
      </c>
      <c r="FC31" s="14">
        <f>mgmt!H243</f>
        <v>2.4400000000000002E-2</v>
      </c>
      <c r="FD31" s="14">
        <f>1.96*mgmt!I243</f>
        <v>2.7243999999999997E-2</v>
      </c>
      <c r="FT31" s="6"/>
    </row>
    <row r="32" spans="1:180" x14ac:dyDescent="0.25">
      <c r="S32" s="6" t="s">
        <v>281</v>
      </c>
      <c r="T32" s="6">
        <v>7</v>
      </c>
      <c r="U32" s="6">
        <f ca="1">INDIRECT(CONCATENATE("'",$S$1,"'!A")&amp;($V$1+T32))</f>
        <v>20362122</v>
      </c>
      <c r="V32" s="9">
        <f ca="1">INDIRECT(CONCATENATE("'",$S$1,"'!B")&amp;($V$25+T32))</f>
        <v>0.72729999999999995</v>
      </c>
      <c r="W32" s="9">
        <f ca="1">INDIRECT(CONCATENATE("'",$S$1,"'!D")&amp;($V$25+T32))</f>
        <v>0.14899999999999999</v>
      </c>
      <c r="X32" s="9">
        <f ca="1">INDIRECT(CONCATENATE("'",$S$1,"'!F")&amp;($V$25+T32))</f>
        <v>0.1237</v>
      </c>
      <c r="Y32" s="9">
        <f ca="1">INDIRECT(CONCATENATE("'",$S$1,"'!H")&amp;($V$25+T32))</f>
        <v>0</v>
      </c>
      <c r="BH32" s="6">
        <f>b2a!A268</f>
        <v>34</v>
      </c>
      <c r="BI32" s="14">
        <f>b2a!B268</f>
        <v>0.53739999999999999</v>
      </c>
      <c r="BJ32" s="14">
        <f>b2a!D268</f>
        <v>0.1812</v>
      </c>
      <c r="BK32" s="14">
        <f>b2a!F268</f>
        <v>0.24349999999999999</v>
      </c>
      <c r="BL32" s="14">
        <f>b2a!H268</f>
        <v>3.7999999999999999E-2</v>
      </c>
      <c r="BZ32" s="6">
        <f>b4a!$A239</f>
        <v>21</v>
      </c>
      <c r="CA32" s="14">
        <f>b4a!$B239</f>
        <v>0.66049999999999998</v>
      </c>
      <c r="CB32" s="14">
        <f>b4a!$D239</f>
        <v>0.1681</v>
      </c>
      <c r="CC32" s="14">
        <f>b4a!$F239</f>
        <v>0.1555</v>
      </c>
      <c r="CD32" s="14">
        <f>b4a!$H239</f>
        <v>1.6E-2</v>
      </c>
      <c r="CN32" s="6">
        <f>'b7'!$A241</f>
        <v>22</v>
      </c>
      <c r="CO32" s="14">
        <f>'b7'!$B241</f>
        <v>0.65359999999999996</v>
      </c>
      <c r="CP32" s="14">
        <f>'b7'!$D241</f>
        <v>0.1696</v>
      </c>
      <c r="CQ32" s="14">
        <f>'b7'!$F241</f>
        <v>0.16070000000000001</v>
      </c>
      <c r="CR32" s="14">
        <f>'b7'!$H241</f>
        <v>1.61E-2</v>
      </c>
      <c r="EV32" s="7">
        <f>mgmt!$A244</f>
        <v>0.25319999999999998</v>
      </c>
      <c r="EW32" s="14">
        <f>mgmt!B244</f>
        <v>0.71630000000000005</v>
      </c>
      <c r="EX32" s="14">
        <f>1.96*mgmt!C244</f>
        <v>6.8795999999999996E-2</v>
      </c>
      <c r="EY32" s="14">
        <f>mgmt!D244</f>
        <v>0.1346</v>
      </c>
      <c r="EZ32" s="14">
        <f>1.96*mgmt!E244</f>
        <v>6.1543999999999995E-2</v>
      </c>
      <c r="FA32" s="14">
        <f>mgmt!F244</f>
        <v>0.1249</v>
      </c>
      <c r="FB32" s="14">
        <f>1.96*mgmt!G244</f>
        <v>3.7631999999999999E-2</v>
      </c>
      <c r="FC32" s="14">
        <f>mgmt!H244</f>
        <v>2.4199999999999999E-2</v>
      </c>
      <c r="FD32" s="14">
        <f>1.96*mgmt!I244</f>
        <v>2.6852000000000001E-2</v>
      </c>
      <c r="FT32" s="6"/>
    </row>
    <row r="33" spans="19:180" x14ac:dyDescent="0.25">
      <c r="S33" s="6"/>
      <c r="T33" s="6"/>
      <c r="U33" s="6"/>
      <c r="V33" s="9">
        <f ca="1">INDIRECT(CONCATENATE("'",$S$1,"'!C")&amp;($V$25+T32))</f>
        <v>4378778.8141000001</v>
      </c>
      <c r="W33" s="9">
        <f ca="1">INDIRECT(CONCATENATE("'",$S$1,"'!E")&amp;($V$25+T32))</f>
        <v>896822.4314</v>
      </c>
      <c r="X33" s="9">
        <f ca="1">INDIRECT(CONCATENATE("'",$S$1,"'!G")&amp;($V$25+T32))</f>
        <v>5275601.2455000002</v>
      </c>
      <c r="Y33" s="9" t="str">
        <f ca="1">INDIRECT(CONCATENATE("'",$S$1,"'!I")&amp;($V$25+T32))</f>
        <v>.</v>
      </c>
      <c r="BH33" s="6">
        <f>b2a!A269</f>
        <v>37</v>
      </c>
      <c r="BI33" s="14">
        <f>b2a!B269</f>
        <v>0.54400000000000004</v>
      </c>
      <c r="BJ33" s="14">
        <f>b2a!D269</f>
        <v>0.18079999999999999</v>
      </c>
      <c r="BK33" s="14">
        <f>b2a!F269</f>
        <v>0.23880000000000001</v>
      </c>
      <c r="BL33" s="14">
        <f>b2a!H269</f>
        <v>3.6400000000000002E-2</v>
      </c>
      <c r="BZ33" s="6">
        <f>b4a!$A240</f>
        <v>22</v>
      </c>
      <c r="CA33" s="14">
        <f>b4a!$B240</f>
        <v>0.66100000000000003</v>
      </c>
      <c r="CB33" s="14">
        <f>b4a!$D240</f>
        <v>0.16769999999999999</v>
      </c>
      <c r="CC33" s="14">
        <f>b4a!$F240</f>
        <v>0.15540000000000001</v>
      </c>
      <c r="CD33" s="14">
        <f>b4a!$H240</f>
        <v>1.5900000000000001E-2</v>
      </c>
      <c r="CN33" s="6">
        <f>'b7'!$A242</f>
        <v>23</v>
      </c>
      <c r="CO33" s="14">
        <f>'b7'!$B242</f>
        <v>0.65539999999999998</v>
      </c>
      <c r="CP33" s="14">
        <f>'b7'!$D242</f>
        <v>0.1681</v>
      </c>
      <c r="CQ33" s="14">
        <f>'b7'!$F242</f>
        <v>0.16020000000000001</v>
      </c>
      <c r="CR33" s="14">
        <f>'b7'!$H242</f>
        <v>1.6199999999999999E-2</v>
      </c>
      <c r="CZ33" s="9"/>
      <c r="DA33" s="9"/>
      <c r="DB33" s="9"/>
      <c r="DC33" s="9"/>
      <c r="DD33" s="9"/>
      <c r="DE33" s="9"/>
      <c r="DF33" s="9"/>
      <c r="DG33" s="9"/>
      <c r="EV33" s="7">
        <f>mgmt!$A245</f>
        <v>0.25340000000000001</v>
      </c>
      <c r="EW33" s="14">
        <f>mgmt!B245</f>
        <v>0.71619999999999995</v>
      </c>
      <c r="EX33" s="14">
        <f>1.96*mgmt!C245</f>
        <v>6.8795999999999996E-2</v>
      </c>
      <c r="EY33" s="14">
        <f>mgmt!D245</f>
        <v>0.1346</v>
      </c>
      <c r="EZ33" s="14">
        <f>1.96*mgmt!E245</f>
        <v>6.1543999999999995E-2</v>
      </c>
      <c r="FA33" s="14">
        <f>mgmt!F245</f>
        <v>0.125</v>
      </c>
      <c r="FB33" s="14">
        <f>1.96*mgmt!G245</f>
        <v>3.7631999999999999E-2</v>
      </c>
      <c r="FC33" s="14">
        <f>mgmt!H245</f>
        <v>2.4199999999999999E-2</v>
      </c>
      <c r="FD33" s="14">
        <f>1.96*mgmt!I245</f>
        <v>2.6852000000000001E-2</v>
      </c>
      <c r="FT33" s="7"/>
      <c r="FU33" s="8"/>
      <c r="FV33" s="8"/>
      <c r="FW33" s="8"/>
      <c r="FX33" s="8"/>
    </row>
    <row r="34" spans="19:180" x14ac:dyDescent="0.25">
      <c r="S34" s="6" t="s">
        <v>299</v>
      </c>
      <c r="T34" s="6">
        <v>5</v>
      </c>
      <c r="U34" s="6">
        <f ca="1">INDIRECT(CONCATENATE("'",$S$1,"'!A")&amp;($V$1+T34))</f>
        <v>242526</v>
      </c>
      <c r="V34" s="9">
        <f ca="1">INDIRECT(CONCATENATE("'",$S$1,"'!B")&amp;($V$25+T34))</f>
        <v>0.68589999999999995</v>
      </c>
      <c r="W34" s="9">
        <f ca="1">INDIRECT(CONCATENATE("'",$S$1,"'!D")&amp;($V$25+T34))</f>
        <v>0.161</v>
      </c>
      <c r="X34" s="9">
        <f ca="1">INDIRECT(CONCATENATE("'",$S$1,"'!F")&amp;($V$25+T34))</f>
        <v>0.15310000000000001</v>
      </c>
      <c r="Y34" s="9">
        <f ca="1">INDIRECT(CONCATENATE("'",$S$1,"'!H")&amp;($V$25+T34))</f>
        <v>0</v>
      </c>
      <c r="BH34" s="6">
        <f>b2a!A270</f>
        <v>39</v>
      </c>
      <c r="BI34" s="14">
        <f>b2a!B270</f>
        <v>0.5484</v>
      </c>
      <c r="BJ34" s="14">
        <f>b2a!D270</f>
        <v>0.18049999999999999</v>
      </c>
      <c r="BK34" s="14">
        <f>b2a!F270</f>
        <v>0.23569999999999999</v>
      </c>
      <c r="BL34" s="14">
        <f>b2a!H270</f>
        <v>3.5299999999999998E-2</v>
      </c>
      <c r="BZ34" s="6">
        <f>b4a!$A241</f>
        <v>23</v>
      </c>
      <c r="CA34" s="14">
        <f>b4a!$B241</f>
        <v>0.66159999999999997</v>
      </c>
      <c r="CB34" s="14">
        <f>b4a!$D241</f>
        <v>0.16739999999999999</v>
      </c>
      <c r="CC34" s="14">
        <f>b4a!$F241</f>
        <v>0.15529999999999999</v>
      </c>
      <c r="CD34" s="14">
        <f>b4a!$H241</f>
        <v>1.5800000000000002E-2</v>
      </c>
      <c r="CN34" s="6">
        <f>'b7'!$A243</f>
        <v>24</v>
      </c>
      <c r="CO34" s="14">
        <f>'b7'!$B243</f>
        <v>0.65720000000000001</v>
      </c>
      <c r="CP34" s="14">
        <f>'b7'!$D243</f>
        <v>0.16669999999999999</v>
      </c>
      <c r="CQ34" s="14">
        <f>'b7'!$F243</f>
        <v>0.15970000000000001</v>
      </c>
      <c r="CR34" s="14">
        <f>'b7'!$H243</f>
        <v>1.6400000000000001E-2</v>
      </c>
      <c r="EV34" s="7">
        <f>mgmt!$A246</f>
        <v>0.26340000000000002</v>
      </c>
      <c r="EW34" s="14">
        <f>mgmt!B246</f>
        <v>0.71440000000000003</v>
      </c>
      <c r="EX34" s="14">
        <f>1.96*mgmt!C246</f>
        <v>6.7227999999999996E-2</v>
      </c>
      <c r="EY34" s="14">
        <f>mgmt!D246</f>
        <v>0.13569999999999999</v>
      </c>
      <c r="EZ34" s="14">
        <f>1.96*mgmt!E246</f>
        <v>6.0172000000000003E-2</v>
      </c>
      <c r="FA34" s="14">
        <f>mgmt!F246</f>
        <v>0.12609999999999999</v>
      </c>
      <c r="FB34" s="14">
        <f>1.96*mgmt!G246</f>
        <v>3.7044000000000001E-2</v>
      </c>
      <c r="FC34" s="14">
        <f>mgmt!H246</f>
        <v>2.3900000000000001E-2</v>
      </c>
      <c r="FD34" s="14">
        <f>1.96*mgmt!I246</f>
        <v>2.5479999999999999E-2</v>
      </c>
      <c r="FT34" s="6"/>
    </row>
    <row r="35" spans="19:180" x14ac:dyDescent="0.25">
      <c r="S35" s="6"/>
      <c r="T35" s="6"/>
      <c r="U35" s="6"/>
      <c r="V35" s="9">
        <f ca="1">INDIRECT(CONCATENATE("'",$S$1,"'!C")&amp;($V$25+T34))</f>
        <v>6251017.1732000001</v>
      </c>
      <c r="W35" s="9">
        <f ca="1">INDIRECT(CONCATENATE("'",$S$1,"'!E")&amp;($V$25+T34))</f>
        <v>1466929.2426</v>
      </c>
      <c r="X35" s="9">
        <f ca="1">INDIRECT(CONCATENATE("'",$S$1,"'!G")&amp;($V$25+T34))</f>
        <v>7717946.4157999996</v>
      </c>
      <c r="Y35" s="9">
        <f ca="1">INDIRECT(CONCATENATE("'",$S$1,"'!I")&amp;($V$25+T34))</f>
        <v>0</v>
      </c>
      <c r="BH35" s="6">
        <f>b2a!A271</f>
        <v>40</v>
      </c>
      <c r="BI35" s="14">
        <f>b2a!B271</f>
        <v>0.55059999999999998</v>
      </c>
      <c r="BJ35" s="14">
        <f>b2a!D271</f>
        <v>0.1804</v>
      </c>
      <c r="BK35" s="14">
        <f>b2a!F271</f>
        <v>0.23419999999999999</v>
      </c>
      <c r="BL35" s="14">
        <f>b2a!H271</f>
        <v>3.4799999999999998E-2</v>
      </c>
      <c r="BZ35" s="6">
        <f>b4a!$A242</f>
        <v>24</v>
      </c>
      <c r="CA35" s="14">
        <f>b4a!$B242</f>
        <v>0.66210000000000002</v>
      </c>
      <c r="CB35" s="14">
        <f>b4a!$D242</f>
        <v>0.16700000000000001</v>
      </c>
      <c r="CC35" s="14">
        <f>b4a!$F242</f>
        <v>0.1552</v>
      </c>
      <c r="CD35" s="14">
        <f>b4a!$H242</f>
        <v>1.5699999999999999E-2</v>
      </c>
      <c r="CN35" s="6">
        <f>'b7'!$A244</f>
        <v>25</v>
      </c>
      <c r="CO35" s="14">
        <f>'b7'!$B244</f>
        <v>0.65900000000000003</v>
      </c>
      <c r="CP35" s="14">
        <f>'b7'!$D244</f>
        <v>0.16520000000000001</v>
      </c>
      <c r="CQ35" s="14">
        <f>'b7'!$F244</f>
        <v>0.15920000000000001</v>
      </c>
      <c r="CR35" s="14">
        <f>'b7'!$H244</f>
        <v>1.66E-2</v>
      </c>
      <c r="EV35" s="7">
        <f>mgmt!$A247</f>
        <v>0.2666</v>
      </c>
      <c r="EW35" s="14">
        <f>mgmt!B247</f>
        <v>0.7137</v>
      </c>
      <c r="EX35" s="14">
        <f>1.96*mgmt!C247</f>
        <v>6.6640000000000005E-2</v>
      </c>
      <c r="EY35" s="14">
        <f>mgmt!D247</f>
        <v>0.13600000000000001</v>
      </c>
      <c r="EZ35" s="14">
        <f>1.96*mgmt!E247</f>
        <v>5.978E-2</v>
      </c>
      <c r="FA35" s="14">
        <f>mgmt!F247</f>
        <v>0.1265</v>
      </c>
      <c r="FB35" s="14">
        <f>1.96*mgmt!G247</f>
        <v>3.7044000000000001E-2</v>
      </c>
      <c r="FC35" s="14">
        <f>mgmt!H247</f>
        <v>2.3800000000000002E-2</v>
      </c>
      <c r="FD35" s="14">
        <f>1.96*mgmt!I247</f>
        <v>2.5284000000000001E-2</v>
      </c>
      <c r="FT35" s="6"/>
    </row>
    <row r="36" spans="19:180" x14ac:dyDescent="0.25">
      <c r="S36" s="6" t="s">
        <v>276</v>
      </c>
      <c r="T36" s="6">
        <v>2</v>
      </c>
      <c r="U36" s="6">
        <f ca="1">INDIRECT(CONCATENATE("'",$S$1,"'!A")&amp;($V$1+T36))</f>
        <v>2728</v>
      </c>
      <c r="V36" s="9">
        <f ca="1">INDIRECT(CONCATENATE("'",$S$1,"'!B")&amp;($V$25+T36))</f>
        <v>0.51719999999999999</v>
      </c>
      <c r="W36" s="9">
        <f ca="1">INDIRECT(CONCATENATE("'",$S$1,"'!D")&amp;($V$25+T36))</f>
        <v>0.27979999999999999</v>
      </c>
      <c r="X36" s="9">
        <f ca="1">INDIRECT(CONCATENATE("'",$S$1,"'!F")&amp;($V$25+T36))</f>
        <v>0.2031</v>
      </c>
      <c r="Y36" s="9">
        <f ca="1">INDIRECT(CONCATENATE("'",$S$1,"'!H")&amp;($V$25+T36))</f>
        <v>0</v>
      </c>
      <c r="BH36" s="6">
        <f>b2a!A272</f>
        <v>46</v>
      </c>
      <c r="BI36" s="14">
        <f>b2a!B272</f>
        <v>0.56359999999999999</v>
      </c>
      <c r="BJ36" s="14">
        <f>b2a!D272</f>
        <v>0.17949999999999999</v>
      </c>
      <c r="BK36" s="14">
        <f>b2a!F272</f>
        <v>0.22509999999999999</v>
      </c>
      <c r="BL36" s="14">
        <f>b2a!H272</f>
        <v>3.1899999999999998E-2</v>
      </c>
      <c r="BZ36" s="6">
        <f>b4a!$A243</f>
        <v>25</v>
      </c>
      <c r="CA36" s="14">
        <f>b4a!$B243</f>
        <v>0.66269999999999996</v>
      </c>
      <c r="CB36" s="14">
        <f>b4a!$D243</f>
        <v>0.16669999999999999</v>
      </c>
      <c r="CC36" s="14">
        <f>b4a!$F243</f>
        <v>0.15509999999999999</v>
      </c>
      <c r="CD36" s="14">
        <f>b4a!$H243</f>
        <v>1.5599999999999999E-2</v>
      </c>
      <c r="CN36" s="6">
        <f>'b7'!$A245</f>
        <v>26</v>
      </c>
      <c r="CO36" s="14">
        <f>'b7'!$B245</f>
        <v>0.66080000000000005</v>
      </c>
      <c r="CP36" s="14">
        <f>'b7'!$D245</f>
        <v>0.16370000000000001</v>
      </c>
      <c r="CQ36" s="14">
        <f>'b7'!$F245</f>
        <v>0.15870000000000001</v>
      </c>
      <c r="CR36" s="14">
        <f>'b7'!$H245</f>
        <v>1.6799999999999999E-2</v>
      </c>
      <c r="DA36" s="9"/>
      <c r="DB36" s="9"/>
      <c r="DC36" s="9"/>
      <c r="DD36" s="9"/>
      <c r="DE36" s="9"/>
      <c r="DF36" s="9"/>
      <c r="DG36" s="9"/>
      <c r="EV36" s="7">
        <f>mgmt!$A248</f>
        <v>0.26679999999999998</v>
      </c>
      <c r="EW36" s="14">
        <f>mgmt!B248</f>
        <v>0.7137</v>
      </c>
      <c r="EX36" s="14">
        <f>1.96*mgmt!C248</f>
        <v>6.6640000000000005E-2</v>
      </c>
      <c r="EY36" s="14">
        <f>mgmt!D248</f>
        <v>0.13600000000000001</v>
      </c>
      <c r="EZ36" s="14">
        <f>1.96*mgmt!E248</f>
        <v>5.978E-2</v>
      </c>
      <c r="FA36" s="14">
        <f>mgmt!F248</f>
        <v>0.1265</v>
      </c>
      <c r="FB36" s="14">
        <f>1.96*mgmt!G248</f>
        <v>3.6847999999999999E-2</v>
      </c>
      <c r="FC36" s="14">
        <f>mgmt!H248</f>
        <v>2.3699999999999999E-2</v>
      </c>
      <c r="FD36" s="14">
        <f>1.96*mgmt!I248</f>
        <v>2.5087999999999999E-2</v>
      </c>
      <c r="FT36" s="7"/>
      <c r="FU36" s="8"/>
      <c r="FV36" s="8"/>
      <c r="FW36" s="8"/>
      <c r="FX36" s="8"/>
    </row>
    <row r="37" spans="19:180" x14ac:dyDescent="0.25">
      <c r="S37" s="6"/>
      <c r="T37" s="6"/>
      <c r="U37" s="6"/>
      <c r="V37" s="9">
        <f ca="1">INDIRECT(CONCATENATE("'",$S$1,"'!C")&amp;($V$25+T36))</f>
        <v>9.7500000000000003E-2</v>
      </c>
      <c r="W37" s="9">
        <f ca="1">INDIRECT(CONCATENATE("'",$S$1,"'!E")&amp;($V$25+T36))</f>
        <v>9.5799999999999996E-2</v>
      </c>
      <c r="X37" s="9">
        <f ca="1">INDIRECT(CONCATENATE("'",$S$1,"'!G")&amp;($V$25+T36))</f>
        <v>7.6899999999999996E-2</v>
      </c>
      <c r="Y37" s="9" t="str">
        <f ca="1">INDIRECT(CONCATENATE("'",$S$1,"'!I")&amp;($V$25+T36))</f>
        <v>.</v>
      </c>
      <c r="BH37" s="6">
        <f>b2a!A273</f>
        <v>48</v>
      </c>
      <c r="BI37" s="14">
        <f>b2a!B273</f>
        <v>0.56779999999999997</v>
      </c>
      <c r="BJ37" s="14">
        <f>b2a!D273</f>
        <v>0.17910000000000001</v>
      </c>
      <c r="BK37" s="14">
        <f>b2a!F273</f>
        <v>0.22209999999999999</v>
      </c>
      <c r="BL37" s="14">
        <f>b2a!H273</f>
        <v>3.09E-2</v>
      </c>
      <c r="BZ37" s="6">
        <f>b4a!$A244</f>
        <v>26</v>
      </c>
      <c r="CA37" s="14">
        <f>b4a!$B244</f>
        <v>0.66320000000000001</v>
      </c>
      <c r="CB37" s="14">
        <f>b4a!$D244</f>
        <v>0.1663</v>
      </c>
      <c r="CC37" s="14">
        <f>b4a!$F244</f>
        <v>0.155</v>
      </c>
      <c r="CD37" s="14">
        <f>b4a!$H244</f>
        <v>1.55E-2</v>
      </c>
      <c r="CN37" s="6">
        <f>'b7'!$A246</f>
        <v>27</v>
      </c>
      <c r="CO37" s="14">
        <f>'b7'!$B246</f>
        <v>0.66249999999999998</v>
      </c>
      <c r="CP37" s="14">
        <f>'b7'!$D246</f>
        <v>0.1623</v>
      </c>
      <c r="CQ37" s="14">
        <f>'b7'!$F246</f>
        <v>0.15820000000000001</v>
      </c>
      <c r="CR37" s="14">
        <f>'b7'!$H246</f>
        <v>1.7000000000000001E-2</v>
      </c>
      <c r="EV37" s="7">
        <f>mgmt!$A249</f>
        <v>0.27660000000000001</v>
      </c>
      <c r="EW37" s="14">
        <f>mgmt!B249</f>
        <v>0.71179999999999999</v>
      </c>
      <c r="EX37" s="14">
        <f>1.96*mgmt!C249</f>
        <v>6.5072000000000005E-2</v>
      </c>
      <c r="EY37" s="14">
        <f>mgmt!D249</f>
        <v>0.1371</v>
      </c>
      <c r="EZ37" s="14">
        <f>1.96*mgmt!E249</f>
        <v>5.8408000000000002E-2</v>
      </c>
      <c r="FA37" s="14">
        <f>mgmt!F249</f>
        <v>0.12770000000000001</v>
      </c>
      <c r="FB37" s="14">
        <f>1.96*mgmt!G249</f>
        <v>3.6455999999999995E-2</v>
      </c>
      <c r="FC37" s="14">
        <f>mgmt!H249</f>
        <v>2.3400000000000001E-2</v>
      </c>
      <c r="FD37" s="14">
        <f>1.96*mgmt!I249</f>
        <v>2.4108000000000001E-2</v>
      </c>
    </row>
    <row r="38" spans="19:180" x14ac:dyDescent="0.25">
      <c r="S38" s="6" t="s">
        <v>283</v>
      </c>
      <c r="T38" s="6">
        <v>9</v>
      </c>
      <c r="U38" s="6">
        <f ca="1">INDIRECT(CONCATENATE("'",$S$1,"'!A")&amp;($V$1+T38))</f>
        <v>293100000000</v>
      </c>
      <c r="V38" s="9">
        <f ca="1">INDIRECT(CONCATENATE("'",$S$1,"'!B")&amp;($V$25+T38))</f>
        <v>0.74</v>
      </c>
      <c r="W38" s="9">
        <f ca="1">INDIRECT(CONCATENATE("'",$S$1,"'!D")&amp;($V$25+T38))</f>
        <v>0.1206</v>
      </c>
      <c r="X38" s="9">
        <f ca="1">INDIRECT(CONCATENATE("'",$S$1,"'!F")&amp;($V$25+T38))</f>
        <v>0.1085</v>
      </c>
      <c r="Y38" s="9">
        <f ca="1">INDIRECT(CONCATENATE("'",$S$1,"'!H")&amp;($V$25+T38))</f>
        <v>3.1E-2</v>
      </c>
      <c r="BH38" s="6">
        <f>b2a!A274</f>
        <v>49</v>
      </c>
      <c r="BI38" s="14">
        <f>b2a!B274</f>
        <v>0.56999999999999995</v>
      </c>
      <c r="BJ38" s="14">
        <f>b2a!D274</f>
        <v>0.1789</v>
      </c>
      <c r="BK38" s="14">
        <f>b2a!F274</f>
        <v>0.22059999999999999</v>
      </c>
      <c r="BL38" s="14">
        <f>b2a!H274</f>
        <v>3.0499999999999999E-2</v>
      </c>
      <c r="BZ38" s="6">
        <f>b4a!$A245</f>
        <v>27</v>
      </c>
      <c r="CA38" s="14">
        <f>b4a!$B245</f>
        <v>0.66379999999999995</v>
      </c>
      <c r="CB38" s="14">
        <f>b4a!$D245</f>
        <v>0.16589999999999999</v>
      </c>
      <c r="CC38" s="14">
        <f>b4a!$F245</f>
        <v>0.15490000000000001</v>
      </c>
      <c r="CD38" s="14">
        <f>b4a!$H245</f>
        <v>1.54E-2</v>
      </c>
      <c r="CN38" s="6">
        <f>'b7'!$A247</f>
        <v>28</v>
      </c>
      <c r="CO38" s="14">
        <f>'b7'!$B247</f>
        <v>0.6643</v>
      </c>
      <c r="CP38" s="14">
        <f>'b7'!$D247</f>
        <v>0.1608</v>
      </c>
      <c r="CQ38" s="14">
        <f>'b7'!$F247</f>
        <v>0.15770000000000001</v>
      </c>
      <c r="CR38" s="14">
        <f>'b7'!$H247</f>
        <v>1.72E-2</v>
      </c>
      <c r="EV38" s="7">
        <f>mgmt!$A250</f>
        <v>0.28000000000000003</v>
      </c>
      <c r="EW38" s="14">
        <f>mgmt!B250</f>
        <v>0.71120000000000005</v>
      </c>
      <c r="EX38" s="14">
        <f>1.96*mgmt!C250</f>
        <v>6.4680000000000001E-2</v>
      </c>
      <c r="EY38" s="14">
        <f>mgmt!D250</f>
        <v>0.13739999999999999</v>
      </c>
      <c r="EZ38" s="14">
        <f>1.96*mgmt!E250</f>
        <v>5.8015999999999998E-2</v>
      </c>
      <c r="FA38" s="14">
        <f>mgmt!F250</f>
        <v>0.12809999999999999</v>
      </c>
      <c r="FB38" s="14">
        <f>1.96*mgmt!G250</f>
        <v>3.6260000000000001E-2</v>
      </c>
      <c r="FC38" s="14">
        <f>mgmt!H250</f>
        <v>2.3300000000000001E-2</v>
      </c>
      <c r="FD38" s="14">
        <f>1.96*mgmt!I250</f>
        <v>2.3715999999999997E-2</v>
      </c>
    </row>
    <row r="39" spans="19:180" x14ac:dyDescent="0.25">
      <c r="S39" s="6"/>
      <c r="T39" s="6"/>
      <c r="U39" s="6"/>
      <c r="V39" s="9">
        <f ca="1">INDIRECT(CONCATENATE("'",$S$1,"'!C")&amp;($V$25+T38))</f>
        <v>10513185.4549</v>
      </c>
      <c r="W39" s="9">
        <f ca="1">INDIRECT(CONCATENATE("'",$S$1,"'!E")&amp;($V$25+T38))</f>
        <v>1712770.8259000001</v>
      </c>
      <c r="X39" s="9">
        <f ca="1">INDIRECT(CONCATENATE("'",$S$1,"'!G")&amp;($V$25+T38))</f>
        <v>18346663.585700002</v>
      </c>
      <c r="Y39" s="9">
        <f ca="1">INDIRECT(CONCATENATE("'",$S$1,"'!I")&amp;($V$25+T38))</f>
        <v>6120707.3048</v>
      </c>
      <c r="BH39" s="6">
        <f>b2a!A275</f>
        <v>50</v>
      </c>
      <c r="BI39" s="14">
        <f>b2a!B275</f>
        <v>0.57210000000000005</v>
      </c>
      <c r="BJ39" s="14">
        <f>b2a!D275</f>
        <v>0.17879999999999999</v>
      </c>
      <c r="BK39" s="14">
        <f>b2a!F275</f>
        <v>0.21909999999999999</v>
      </c>
      <c r="BL39" s="14">
        <f>b2a!H275</f>
        <v>0.03</v>
      </c>
      <c r="BZ39" s="6">
        <f>b4a!$A246</f>
        <v>28</v>
      </c>
      <c r="CA39" s="14">
        <f>b4a!$B246</f>
        <v>0.6643</v>
      </c>
      <c r="CB39" s="14">
        <f>b4a!$D246</f>
        <v>0.1656</v>
      </c>
      <c r="CC39" s="14">
        <f>b4a!$F246</f>
        <v>0.15479999999999999</v>
      </c>
      <c r="CD39" s="14">
        <f>b4a!$H246</f>
        <v>1.5299999999999999E-2</v>
      </c>
      <c r="CN39" s="6">
        <f>'b7'!$A248</f>
        <v>29</v>
      </c>
      <c r="CO39" s="14">
        <f>'b7'!$B248</f>
        <v>0.66600000000000004</v>
      </c>
      <c r="CP39" s="14">
        <f>'b7'!$D248</f>
        <v>0.15939999999999999</v>
      </c>
      <c r="CQ39" s="14">
        <f>'b7'!$F248</f>
        <v>0.15709999999999999</v>
      </c>
      <c r="CR39" s="14">
        <f>'b7'!$H248</f>
        <v>1.7399999999999999E-2</v>
      </c>
      <c r="EV39" s="7">
        <f>mgmt!$A251</f>
        <v>0.28660000000000002</v>
      </c>
      <c r="EW39" s="14">
        <f>mgmt!B251</f>
        <v>0.70989999999999998</v>
      </c>
      <c r="EX39" s="14">
        <f>1.96*mgmt!C251</f>
        <v>6.3503999999999991E-2</v>
      </c>
      <c r="EY39" s="14">
        <f>mgmt!D251</f>
        <v>0.13819999999999999</v>
      </c>
      <c r="EZ39" s="14">
        <f>1.96*mgmt!E251</f>
        <v>5.7231999999999998E-2</v>
      </c>
      <c r="FA39" s="14">
        <f>mgmt!F251</f>
        <v>0.12889999999999999</v>
      </c>
      <c r="FB39" s="14">
        <f>1.96*mgmt!G251</f>
        <v>3.5867999999999997E-2</v>
      </c>
      <c r="FC39" s="14">
        <f>mgmt!H251</f>
        <v>2.3E-2</v>
      </c>
      <c r="FD39" s="14">
        <f>1.96*mgmt!I251</f>
        <v>2.2932000000000001E-2</v>
      </c>
    </row>
    <row r="40" spans="19:180" x14ac:dyDescent="0.25">
      <c r="S40" s="6" t="s">
        <v>272</v>
      </c>
      <c r="T40" s="6">
        <v>0</v>
      </c>
      <c r="U40" s="6">
        <f ca="1">INDIRECT(CONCATENATE("'",$S$1,"'!A")&amp;($V$1+T40))</f>
        <v>45</v>
      </c>
      <c r="V40" s="9">
        <f ca="1">INDIRECT(CONCATENATE("'",$S$1,"'!B")&amp;($V$25+T40))</f>
        <v>0.50609999999999999</v>
      </c>
      <c r="W40" s="9">
        <f ca="1">INDIRECT(CONCATENATE("'",$S$1,"'!D")&amp;($V$25+T40))</f>
        <v>0.1411</v>
      </c>
      <c r="X40" s="9">
        <f ca="1">INDIRECT(CONCATENATE("'",$S$1,"'!F")&amp;($V$25+T40))</f>
        <v>0.3246</v>
      </c>
      <c r="Y40" s="9">
        <f ca="1">INDIRECT(CONCATENATE("'",$S$1,"'!H")&amp;($V$25+T40))</f>
        <v>2.8199999999999999E-2</v>
      </c>
      <c r="BH40" s="6">
        <f>b2a!A276</f>
        <v>51</v>
      </c>
      <c r="BI40" s="14">
        <f>b2a!B276</f>
        <v>0.57420000000000004</v>
      </c>
      <c r="BJ40" s="14">
        <f>b2a!D276</f>
        <v>0.17860000000000001</v>
      </c>
      <c r="BK40" s="14">
        <f>b2a!F276</f>
        <v>0.21759999999999999</v>
      </c>
      <c r="BL40" s="14">
        <f>b2a!H276</f>
        <v>2.9600000000000001E-2</v>
      </c>
      <c r="BZ40" s="6">
        <f>b4a!$A247</f>
        <v>30</v>
      </c>
      <c r="CA40" s="14">
        <f>b4a!$B247</f>
        <v>0.66549999999999998</v>
      </c>
      <c r="CB40" s="14">
        <f>b4a!$D247</f>
        <v>0.16489999999999999</v>
      </c>
      <c r="CC40" s="14">
        <f>b4a!$F247</f>
        <v>0.15459999999999999</v>
      </c>
      <c r="CD40" s="14">
        <f>b4a!$H247</f>
        <v>1.5100000000000001E-2</v>
      </c>
      <c r="CN40" s="6">
        <f>'b7'!$A249</f>
        <v>30</v>
      </c>
      <c r="CO40" s="14">
        <f>'b7'!$B249</f>
        <v>0.66779999999999995</v>
      </c>
      <c r="CP40" s="14">
        <f>'b7'!$D249</f>
        <v>0.158</v>
      </c>
      <c r="CQ40" s="14">
        <f>'b7'!$F249</f>
        <v>0.15659999999999999</v>
      </c>
      <c r="CR40" s="14">
        <f>'b7'!$H249</f>
        <v>1.7600000000000001E-2</v>
      </c>
      <c r="EV40" s="7">
        <f>mgmt!$A252</f>
        <v>0.29320000000000002</v>
      </c>
      <c r="EW40" s="14">
        <f>mgmt!B252</f>
        <v>0.70860000000000001</v>
      </c>
      <c r="EX40" s="14">
        <f>1.96*mgmt!C252</f>
        <v>6.2523999999999996E-2</v>
      </c>
      <c r="EY40" s="14">
        <f>mgmt!D252</f>
        <v>0.1389</v>
      </c>
      <c r="EZ40" s="14">
        <f>1.96*mgmt!E252</f>
        <v>5.6251999999999996E-2</v>
      </c>
      <c r="FA40" s="14">
        <f>mgmt!F252</f>
        <v>0.12970000000000001</v>
      </c>
      <c r="FB40" s="14">
        <f>1.96*mgmt!G252</f>
        <v>3.5476000000000001E-2</v>
      </c>
      <c r="FC40" s="14">
        <f>mgmt!H252</f>
        <v>2.2800000000000001E-2</v>
      </c>
      <c r="FD40" s="14">
        <f>1.96*mgmt!I252</f>
        <v>2.2147999999999998E-2</v>
      </c>
    </row>
    <row r="41" spans="19:180" x14ac:dyDescent="0.25">
      <c r="S41" s="6"/>
      <c r="T41" s="6"/>
      <c r="U41" s="6"/>
      <c r="V41" s="9">
        <f ca="1">INDIRECT(CONCATENATE("'",$S$1,"'!C")&amp;($V$25+T40))</f>
        <v>8.1900000000000001E-2</v>
      </c>
      <c r="W41" s="9">
        <f ca="1">INDIRECT(CONCATENATE("'",$S$1,"'!E")&amp;($V$25+T40))</f>
        <v>5.57E-2</v>
      </c>
      <c r="X41" s="9">
        <f ca="1">INDIRECT(CONCATENATE("'",$S$1,"'!G")&amp;($V$25+T40))</f>
        <v>7.6200000000000004E-2</v>
      </c>
      <c r="Y41" s="9">
        <f ca="1">INDIRECT(CONCATENATE("'",$S$1,"'!I")&amp;($V$25+T40))</f>
        <v>1.2999999999999999E-2</v>
      </c>
      <c r="BH41" s="6">
        <f>b2a!A277</f>
        <v>57</v>
      </c>
      <c r="BI41" s="14">
        <f>b2a!B277</f>
        <v>0.58679999999999999</v>
      </c>
      <c r="BJ41" s="14">
        <f>b2a!D277</f>
        <v>0.17730000000000001</v>
      </c>
      <c r="BK41" s="14">
        <f>b2a!F277</f>
        <v>0.20880000000000001</v>
      </c>
      <c r="BL41" s="14">
        <f>b2a!H277</f>
        <v>2.7E-2</v>
      </c>
      <c r="BZ41" s="6">
        <f>b4a!$A248</f>
        <v>31</v>
      </c>
      <c r="CA41" s="14">
        <f>b4a!$B248</f>
        <v>0.66600000000000004</v>
      </c>
      <c r="CB41" s="14">
        <f>b4a!$D248</f>
        <v>0.16450000000000001</v>
      </c>
      <c r="CC41" s="14">
        <f>b4a!$F248</f>
        <v>0.1545</v>
      </c>
      <c r="CD41" s="14">
        <f>b4a!$H248</f>
        <v>1.4999999999999999E-2</v>
      </c>
      <c r="CN41" s="6">
        <f>'b7'!$A250</f>
        <v>31</v>
      </c>
      <c r="CO41" s="14">
        <f>'b7'!$B250</f>
        <v>0.66949999999999998</v>
      </c>
      <c r="CP41" s="14">
        <f>'b7'!$D250</f>
        <v>0.15659999999999999</v>
      </c>
      <c r="CQ41" s="14">
        <f>'b7'!$F250</f>
        <v>0.15609999999999999</v>
      </c>
      <c r="CR41" s="14">
        <f>'b7'!$H250</f>
        <v>1.78E-2</v>
      </c>
      <c r="EV41" s="7">
        <f>mgmt!$A253</f>
        <v>0.29339999999999999</v>
      </c>
      <c r="EW41" s="14">
        <f>mgmt!B253</f>
        <v>0.70860000000000001</v>
      </c>
      <c r="EX41" s="14">
        <f>1.96*mgmt!C253</f>
        <v>6.2523999999999996E-2</v>
      </c>
      <c r="EY41" s="14">
        <f>mgmt!D253</f>
        <v>0.1389</v>
      </c>
      <c r="EZ41" s="14">
        <f>1.96*mgmt!E253</f>
        <v>5.6251999999999996E-2</v>
      </c>
      <c r="FA41" s="14">
        <f>mgmt!F253</f>
        <v>0.12970000000000001</v>
      </c>
      <c r="FB41" s="14">
        <f>1.96*mgmt!G253</f>
        <v>3.5476000000000001E-2</v>
      </c>
      <c r="FC41" s="14">
        <f>mgmt!H253</f>
        <v>2.2800000000000001E-2</v>
      </c>
      <c r="FD41" s="14">
        <f>1.96*mgmt!I253</f>
        <v>2.2147999999999998E-2</v>
      </c>
    </row>
    <row r="42" spans="19:180" x14ac:dyDescent="0.25">
      <c r="S42" s="6" t="s">
        <v>282</v>
      </c>
      <c r="T42" s="6">
        <v>8</v>
      </c>
      <c r="U42" s="6">
        <f ca="1">INDIRECT(CONCATENATE("'",$S$1,"'!A")&amp;($V$1+T42))</f>
        <v>5052000000</v>
      </c>
      <c r="V42" s="9">
        <f ca="1">INDIRECT(CONCATENATE("'",$S$1,"'!B")&amp;($V$25+T42))</f>
        <v>0.66</v>
      </c>
      <c r="W42" s="9">
        <f ca="1">INDIRECT(CONCATENATE("'",$S$1,"'!D")&amp;($V$25+T42))</f>
        <v>0.15720000000000001</v>
      </c>
      <c r="X42" s="9">
        <f ca="1">INDIRECT(CONCATENATE("'",$S$1,"'!F")&amp;($V$25+T42))</f>
        <v>0.16900000000000001</v>
      </c>
      <c r="Y42" s="9">
        <f ca="1">INDIRECT(CONCATENATE("'",$S$1,"'!H")&amp;($V$25+T42))</f>
        <v>1.3899999999999999E-2</v>
      </c>
      <c r="BH42" s="6">
        <f>b2a!A278</f>
        <v>58</v>
      </c>
      <c r="BI42" s="14">
        <f>b2a!B278</f>
        <v>0.58889999999999998</v>
      </c>
      <c r="BJ42" s="14">
        <f>b2a!D278</f>
        <v>0.17710000000000001</v>
      </c>
      <c r="BK42" s="14">
        <f>b2a!F278</f>
        <v>0.2074</v>
      </c>
      <c r="BL42" s="14">
        <f>b2a!H278</f>
        <v>2.6599999999999999E-2</v>
      </c>
      <c r="BZ42" s="6">
        <f>b4a!$A249</f>
        <v>32</v>
      </c>
      <c r="CA42" s="14">
        <f>b4a!$B249</f>
        <v>0.66659999999999997</v>
      </c>
      <c r="CB42" s="14">
        <f>b4a!$D249</f>
        <v>0.1641</v>
      </c>
      <c r="CC42" s="14">
        <f>b4a!$F249</f>
        <v>0.15440000000000001</v>
      </c>
      <c r="CD42" s="14">
        <f>b4a!$H249</f>
        <v>1.4999999999999999E-2</v>
      </c>
      <c r="CN42" s="6">
        <f>'b7'!$A251</f>
        <v>32</v>
      </c>
      <c r="CO42" s="14">
        <f>'b7'!$B251</f>
        <v>0.67120000000000002</v>
      </c>
      <c r="CP42" s="14">
        <f>'b7'!$D251</f>
        <v>0.1552</v>
      </c>
      <c r="CQ42" s="14">
        <f>'b7'!$F251</f>
        <v>0.15559999999999999</v>
      </c>
      <c r="CR42" s="14">
        <f>'b7'!$H251</f>
        <v>1.7999999999999999E-2</v>
      </c>
      <c r="EV42" s="7">
        <f>mgmt!$A254</f>
        <v>0.30659999999999998</v>
      </c>
      <c r="EW42" s="14">
        <f>mgmt!B254</f>
        <v>0.70599999999999996</v>
      </c>
      <c r="EX42" s="14">
        <f>1.96*mgmt!C254</f>
        <v>6.0367999999999998E-2</v>
      </c>
      <c r="EY42" s="14">
        <f>mgmt!D254</f>
        <v>0.1404</v>
      </c>
      <c r="EZ42" s="14">
        <f>1.96*mgmt!E254</f>
        <v>5.4487999999999995E-2</v>
      </c>
      <c r="FA42" s="14">
        <f>mgmt!F254</f>
        <v>0.1313</v>
      </c>
      <c r="FB42" s="14">
        <f>1.96*mgmt!G254</f>
        <v>3.4692000000000001E-2</v>
      </c>
      <c r="FC42" s="14">
        <f>mgmt!H254</f>
        <v>2.24E-2</v>
      </c>
      <c r="FD42" s="14">
        <f>1.96*mgmt!I254</f>
        <v>2.0775999999999999E-2</v>
      </c>
    </row>
    <row r="43" spans="19:180" x14ac:dyDescent="0.25">
      <c r="S43" s="6"/>
      <c r="T43" s="6"/>
      <c r="U43" s="6"/>
      <c r="V43" s="9">
        <f ca="1">INDIRECT(CONCATENATE("'",$S$1,"'!C")&amp;($V$25+T42))</f>
        <v>12486924.905300001</v>
      </c>
      <c r="W43" s="9">
        <f ca="1">INDIRECT(CONCATENATE("'",$S$1,"'!E")&amp;($V$25+T42))</f>
        <v>2974473.6554999999</v>
      </c>
      <c r="X43" s="9">
        <f ca="1">INDIRECT(CONCATENATE("'",$S$1,"'!G")&amp;($V$25+T42))</f>
        <v>17414642.9989</v>
      </c>
      <c r="Y43" s="9">
        <f ca="1">INDIRECT(CONCATENATE("'",$S$1,"'!I")&amp;($V$25+T42))</f>
        <v>1953244.4380999999</v>
      </c>
      <c r="BH43" s="6">
        <f>b2a!A279</f>
        <v>60</v>
      </c>
      <c r="BI43" s="14">
        <f>b2a!B279</f>
        <v>0.59299999999999997</v>
      </c>
      <c r="BJ43" s="14">
        <f>b2a!D279</f>
        <v>0.1767</v>
      </c>
      <c r="BK43" s="14">
        <f>b2a!F279</f>
        <v>0.20449999999999999</v>
      </c>
      <c r="BL43" s="14">
        <f>b2a!H279</f>
        <v>2.58E-2</v>
      </c>
      <c r="BZ43" s="6">
        <f>b4a!$A250</f>
        <v>33</v>
      </c>
      <c r="CA43" s="14">
        <f>b4a!$B250</f>
        <v>0.66710000000000003</v>
      </c>
      <c r="CB43" s="14">
        <f>b4a!$D250</f>
        <v>0.1638</v>
      </c>
      <c r="CC43" s="14">
        <f>b4a!$F250</f>
        <v>0.15429999999999999</v>
      </c>
      <c r="CD43" s="14">
        <f>b4a!$H250</f>
        <v>1.49E-2</v>
      </c>
      <c r="CN43" s="6">
        <f>'b7'!$A252</f>
        <v>33</v>
      </c>
      <c r="CO43" s="14">
        <f>'b7'!$B252</f>
        <v>0.67290000000000005</v>
      </c>
      <c r="CP43" s="14">
        <f>'b7'!$D252</f>
        <v>0.15379999999999999</v>
      </c>
      <c r="CQ43" s="14">
        <f>'b7'!$F252</f>
        <v>0.15509999999999999</v>
      </c>
      <c r="CR43" s="14">
        <f>'b7'!$H252</f>
        <v>1.8200000000000001E-2</v>
      </c>
      <c r="EV43" s="7">
        <f>mgmt!$A255</f>
        <v>0.30680000000000002</v>
      </c>
      <c r="EW43" s="14">
        <f>mgmt!B255</f>
        <v>0.70599999999999996</v>
      </c>
      <c r="EX43" s="14">
        <f>1.96*mgmt!C255</f>
        <v>6.0367999999999998E-2</v>
      </c>
      <c r="EY43" s="14">
        <f>mgmt!D255</f>
        <v>0.1404</v>
      </c>
      <c r="EZ43" s="14">
        <f>1.96*mgmt!E255</f>
        <v>5.4487999999999995E-2</v>
      </c>
      <c r="FA43" s="14">
        <f>mgmt!F255</f>
        <v>0.1313</v>
      </c>
      <c r="FB43" s="14">
        <f>1.96*mgmt!G255</f>
        <v>3.4692000000000001E-2</v>
      </c>
      <c r="FC43" s="14">
        <f>mgmt!H255</f>
        <v>2.23E-2</v>
      </c>
      <c r="FD43" s="14">
        <f>1.96*mgmt!I255</f>
        <v>2.0775999999999999E-2</v>
      </c>
    </row>
    <row r="44" spans="19:180" x14ac:dyDescent="0.25">
      <c r="S44" s="6" t="s">
        <v>280</v>
      </c>
      <c r="T44" s="6">
        <v>6</v>
      </c>
      <c r="U44" s="6">
        <f ca="1">INDIRECT(CONCATENATE("'",$S$1,"'!A")&amp;($V$1+T44))</f>
        <v>606162</v>
      </c>
      <c r="V44" s="9">
        <f ca="1">INDIRECT(CONCATENATE("'",$S$1,"'!B")&amp;($V$25+T44))</f>
        <v>0.71220000000000006</v>
      </c>
      <c r="W44" s="9">
        <f ca="1">INDIRECT(CONCATENATE("'",$S$1,"'!D")&amp;($V$25+T44))</f>
        <v>0.19969999999999999</v>
      </c>
      <c r="X44" s="9">
        <f ca="1">INDIRECT(CONCATENATE("'",$S$1,"'!F")&amp;($V$25+T44))</f>
        <v>7.4999999999999997E-2</v>
      </c>
      <c r="Y44" s="9">
        <f ca="1">INDIRECT(CONCATENATE("'",$S$1,"'!H")&amp;($V$25+T44))</f>
        <v>1.3100000000000001E-2</v>
      </c>
      <c r="BH44" s="6">
        <f>b2a!A280</f>
        <v>65</v>
      </c>
      <c r="BI44" s="14">
        <f>b2a!B280</f>
        <v>0.60319999999999996</v>
      </c>
      <c r="BJ44" s="14">
        <f>b2a!D280</f>
        <v>0.17549999999999999</v>
      </c>
      <c r="BK44" s="14">
        <f>b2a!F280</f>
        <v>0.19739999999999999</v>
      </c>
      <c r="BL44" s="14">
        <f>b2a!H280</f>
        <v>2.3900000000000001E-2</v>
      </c>
      <c r="BZ44" s="6">
        <f>b4a!$A251</f>
        <v>34</v>
      </c>
      <c r="CA44" s="14">
        <f>b4a!$B251</f>
        <v>0.66769999999999996</v>
      </c>
      <c r="CB44" s="14">
        <f>b4a!$D251</f>
        <v>0.16339999999999999</v>
      </c>
      <c r="CC44" s="14">
        <f>b4a!$F251</f>
        <v>0.15409999999999999</v>
      </c>
      <c r="CD44" s="14">
        <f>b4a!$H251</f>
        <v>1.4800000000000001E-2</v>
      </c>
      <c r="CN44" s="6">
        <f>'b7'!$A253</f>
        <v>34</v>
      </c>
      <c r="CO44" s="14">
        <f>'b7'!$B253</f>
        <v>0.67469999999999997</v>
      </c>
      <c r="CP44" s="14">
        <f>'b7'!$D253</f>
        <v>0.15240000000000001</v>
      </c>
      <c r="CQ44" s="14">
        <f>'b7'!$F253</f>
        <v>0.1545</v>
      </c>
      <c r="CR44" s="14">
        <f>'b7'!$H253</f>
        <v>1.84E-2</v>
      </c>
      <c r="EV44" s="7">
        <f>mgmt!$A256</f>
        <v>0.31659999999999999</v>
      </c>
      <c r="EW44" s="14">
        <f>mgmt!B256</f>
        <v>0.70409999999999995</v>
      </c>
      <c r="EX44" s="14">
        <f>1.96*mgmt!C256</f>
        <v>5.8799999999999998E-2</v>
      </c>
      <c r="EY44" s="14">
        <f>mgmt!D256</f>
        <v>0.14149999999999999</v>
      </c>
      <c r="EZ44" s="14">
        <f>1.96*mgmt!E256</f>
        <v>5.3115999999999997E-2</v>
      </c>
      <c r="FA44" s="14">
        <f>mgmt!F256</f>
        <v>0.13250000000000001</v>
      </c>
      <c r="FB44" s="14">
        <f>1.96*mgmt!G256</f>
        <v>3.4103999999999995E-2</v>
      </c>
      <c r="FC44" s="14">
        <f>mgmt!H256</f>
        <v>2.1999999999999999E-2</v>
      </c>
      <c r="FD44" s="14">
        <f>1.96*mgmt!I256</f>
        <v>1.9795999999999998E-2</v>
      </c>
    </row>
    <row r="45" spans="19:180" x14ac:dyDescent="0.25">
      <c r="S45" s="6"/>
      <c r="T45" s="6"/>
      <c r="U45" s="6"/>
      <c r="V45" s="9">
        <f ca="1">INDIRECT(CONCATENATE("'",$S$1,"'!C")&amp;($V$25+T44))</f>
        <v>9.4299999999999995E-2</v>
      </c>
      <c r="W45" s="9">
        <f ca="1">INDIRECT(CONCATENATE("'",$S$1,"'!E")&amp;($V$25+T44))</f>
        <v>9.64E-2</v>
      </c>
      <c r="X45" s="9">
        <f ca="1">INDIRECT(CONCATENATE("'",$S$1,"'!G")&amp;($V$25+T44))</f>
        <v>4.1200000000000001E-2</v>
      </c>
      <c r="Y45" s="9">
        <f ca="1">INDIRECT(CONCATENATE("'",$S$1,"'!I")&amp;($V$25+T44))</f>
        <v>1.37E-2</v>
      </c>
      <c r="BH45" s="6">
        <f>b2a!A281</f>
        <v>66</v>
      </c>
      <c r="BI45" s="14">
        <f>b2a!B281</f>
        <v>0.60519999999999996</v>
      </c>
      <c r="BJ45" s="14">
        <f>b2a!D281</f>
        <v>0.17530000000000001</v>
      </c>
      <c r="BK45" s="14">
        <f>b2a!F281</f>
        <v>0.19600000000000001</v>
      </c>
      <c r="BL45" s="14">
        <f>b2a!H281</f>
        <v>2.3599999999999999E-2</v>
      </c>
      <c r="BZ45" s="6">
        <f>b4a!$A252</f>
        <v>35</v>
      </c>
      <c r="CA45" s="14">
        <f>b4a!$B252</f>
        <v>0.66820000000000002</v>
      </c>
      <c r="CB45" s="14">
        <f>b4a!$D252</f>
        <v>0.16309999999999999</v>
      </c>
      <c r="CC45" s="14">
        <f>b4a!$F252</f>
        <v>0.154</v>
      </c>
      <c r="CD45" s="14">
        <f>b4a!$H252</f>
        <v>1.47E-2</v>
      </c>
      <c r="CN45" s="6">
        <f>'b7'!$A254</f>
        <v>35</v>
      </c>
      <c r="CO45" s="14">
        <f>'b7'!$B254</f>
        <v>0.67630000000000001</v>
      </c>
      <c r="CP45" s="14">
        <f>'b7'!$D254</f>
        <v>0.151</v>
      </c>
      <c r="CQ45" s="14">
        <f>'b7'!$F254</f>
        <v>0.154</v>
      </c>
      <c r="CR45" s="14">
        <f>'b7'!$H254</f>
        <v>1.8599999999999998E-2</v>
      </c>
      <c r="EV45" s="7">
        <f>mgmt!$A257</f>
        <v>0.31979999999999997</v>
      </c>
      <c r="EW45" s="14">
        <f>mgmt!B257</f>
        <v>0.70340000000000003</v>
      </c>
      <c r="EX45" s="14">
        <f>1.96*mgmt!C257</f>
        <v>5.8408000000000002E-2</v>
      </c>
      <c r="EY45" s="14">
        <f>mgmt!D257</f>
        <v>0.14180000000000001</v>
      </c>
      <c r="EZ45" s="14">
        <f>1.96*mgmt!E257</f>
        <v>5.2724E-2</v>
      </c>
      <c r="FA45" s="14">
        <f>mgmt!F257</f>
        <v>0.13289999999999999</v>
      </c>
      <c r="FB45" s="14">
        <f>1.96*mgmt!G257</f>
        <v>3.4103999999999995E-2</v>
      </c>
      <c r="FC45" s="14">
        <f>mgmt!H257</f>
        <v>2.1899999999999999E-2</v>
      </c>
      <c r="FD45" s="14">
        <f>1.96*mgmt!I257</f>
        <v>1.9404000000000001E-2</v>
      </c>
    </row>
    <row r="46" spans="19:180" x14ac:dyDescent="0.25">
      <c r="S46" s="6" t="s">
        <v>277</v>
      </c>
      <c r="T46" s="6">
        <v>3</v>
      </c>
      <c r="U46" s="6">
        <f ca="1">INDIRECT(CONCATENATE("'",$S$1,"'!A")&amp;($V$1+T46))</f>
        <v>6472</v>
      </c>
      <c r="V46" s="9">
        <f ca="1">INDIRECT(CONCATENATE("'",$S$1,"'!B")&amp;($V$25+T46))</f>
        <v>0.54339999999999999</v>
      </c>
      <c r="W46" s="9">
        <f ca="1">INDIRECT(CONCATENATE("'",$S$1,"'!D")&amp;($V$25+T46))</f>
        <v>0.29509999999999997</v>
      </c>
      <c r="X46" s="9">
        <f ca="1">INDIRECT(CONCATENATE("'",$S$1,"'!F")&amp;($V$25+T46))</f>
        <v>0.10249999999999999</v>
      </c>
      <c r="Y46" s="9">
        <f ca="1">INDIRECT(CONCATENATE("'",$S$1,"'!H")&amp;($V$25+T46))</f>
        <v>5.91E-2</v>
      </c>
      <c r="BH46" s="6">
        <f>b2a!A282</f>
        <v>67</v>
      </c>
      <c r="BI46" s="14">
        <f>b2a!B282</f>
        <v>0.60719999999999996</v>
      </c>
      <c r="BJ46" s="14">
        <f>b2a!D282</f>
        <v>0.17499999999999999</v>
      </c>
      <c r="BK46" s="14">
        <f>b2a!F282</f>
        <v>0.1946</v>
      </c>
      <c r="BL46" s="14">
        <f>b2a!H282</f>
        <v>2.3199999999999998E-2</v>
      </c>
      <c r="BZ46" s="6">
        <f>b4a!$A253</f>
        <v>36</v>
      </c>
      <c r="CA46" s="14">
        <f>b4a!$B253</f>
        <v>0.66869999999999996</v>
      </c>
      <c r="CB46" s="14">
        <f>b4a!$D253</f>
        <v>0.16270000000000001</v>
      </c>
      <c r="CC46" s="14">
        <f>b4a!$F253</f>
        <v>0.15390000000000001</v>
      </c>
      <c r="CD46" s="14">
        <f>b4a!$H253</f>
        <v>1.46E-2</v>
      </c>
      <c r="CN46" s="6">
        <f>'b7'!$A255</f>
        <v>36</v>
      </c>
      <c r="CO46" s="14">
        <f>'b7'!$B255</f>
        <v>0.67800000000000005</v>
      </c>
      <c r="CP46" s="14">
        <f>'b7'!$D255</f>
        <v>0.1497</v>
      </c>
      <c r="CQ46" s="14">
        <f>'b7'!$F255</f>
        <v>0.1535</v>
      </c>
      <c r="CR46" s="14">
        <f>'b7'!$H255</f>
        <v>1.89E-2</v>
      </c>
      <c r="EV46" s="7">
        <f>mgmt!$A258</f>
        <v>0.32</v>
      </c>
      <c r="EW46" s="14">
        <f>mgmt!B258</f>
        <v>0.70340000000000003</v>
      </c>
      <c r="EX46" s="14">
        <f>1.96*mgmt!C258</f>
        <v>5.8408000000000002E-2</v>
      </c>
      <c r="EY46" s="14">
        <f>mgmt!D258</f>
        <v>0.14180000000000001</v>
      </c>
      <c r="EZ46" s="14">
        <f>1.96*mgmt!E258</f>
        <v>5.2724E-2</v>
      </c>
      <c r="FA46" s="14">
        <f>mgmt!F258</f>
        <v>0.13289999999999999</v>
      </c>
      <c r="FB46" s="14">
        <f>1.96*mgmt!G258</f>
        <v>3.3908000000000001E-2</v>
      </c>
      <c r="FC46" s="14">
        <f>mgmt!H258</f>
        <v>2.1899999999999999E-2</v>
      </c>
      <c r="FD46" s="14">
        <f>1.96*mgmt!I258</f>
        <v>1.9404000000000001E-2</v>
      </c>
    </row>
    <row r="47" spans="19:180" x14ac:dyDescent="0.25">
      <c r="S47" s="6"/>
      <c r="T47" s="6"/>
      <c r="U47" s="6"/>
      <c r="V47" s="9">
        <f ca="1">INDIRECT(CONCATENATE("'",$S$1,"'!C")&amp;($V$25+T46))</f>
        <v>0.11260000000000001</v>
      </c>
      <c r="W47" s="9">
        <f ca="1">INDIRECT(CONCATENATE("'",$S$1,"'!E")&amp;($V$25+T46))</f>
        <v>0.112</v>
      </c>
      <c r="X47" s="9">
        <f ca="1">INDIRECT(CONCATENATE("'",$S$1,"'!G")&amp;($V$25+T46))</f>
        <v>5.5800000000000002E-2</v>
      </c>
      <c r="Y47" s="9">
        <f ca="1">INDIRECT(CONCATENATE("'",$S$1,"'!I")&amp;($V$25+T46))</f>
        <v>3.6200000000000003E-2</v>
      </c>
      <c r="BH47" s="6">
        <f>b2a!A283</f>
        <v>68</v>
      </c>
      <c r="BI47" s="14">
        <f>b2a!B283</f>
        <v>0.60919999999999996</v>
      </c>
      <c r="BJ47" s="14">
        <f>b2a!D283</f>
        <v>0.17480000000000001</v>
      </c>
      <c r="BK47" s="14">
        <f>b2a!F283</f>
        <v>0.19320000000000001</v>
      </c>
      <c r="BL47" s="14">
        <f>b2a!H283</f>
        <v>2.2800000000000001E-2</v>
      </c>
      <c r="BZ47" s="6">
        <f>b4a!$A254</f>
        <v>37</v>
      </c>
      <c r="CA47" s="14">
        <f>b4a!$B254</f>
        <v>0.66930000000000001</v>
      </c>
      <c r="CB47" s="14">
        <f>b4a!$D254</f>
        <v>0.1623</v>
      </c>
      <c r="CC47" s="14">
        <f>b4a!$F254</f>
        <v>0.15379999999999999</v>
      </c>
      <c r="CD47" s="14">
        <f>b4a!$H254</f>
        <v>1.4500000000000001E-2</v>
      </c>
      <c r="CN47" s="6">
        <f>'b7'!$A256</f>
        <v>37</v>
      </c>
      <c r="CO47" s="14">
        <f>'b7'!$B256</f>
        <v>0.67969999999999997</v>
      </c>
      <c r="CP47" s="14">
        <f>'b7'!$D256</f>
        <v>0.14829999999999999</v>
      </c>
      <c r="CQ47" s="14">
        <f>'b7'!$F256</f>
        <v>0.15290000000000001</v>
      </c>
      <c r="CR47" s="14">
        <f>'b7'!$H256</f>
        <v>1.9099999999999999E-2</v>
      </c>
      <c r="EV47" s="7">
        <f>mgmt!$A259</f>
        <v>0.32319999999999999</v>
      </c>
      <c r="EW47" s="14">
        <f>mgmt!B259</f>
        <v>0.70279999999999998</v>
      </c>
      <c r="EX47" s="14">
        <f>1.96*mgmt!C259</f>
        <v>5.7819999999999996E-2</v>
      </c>
      <c r="EY47" s="14">
        <f>mgmt!D259</f>
        <v>0.14219999999999999</v>
      </c>
      <c r="EZ47" s="14">
        <f>1.96*mgmt!E259</f>
        <v>5.2332000000000004E-2</v>
      </c>
      <c r="FA47" s="14">
        <f>mgmt!F259</f>
        <v>0.1333</v>
      </c>
      <c r="FB47" s="14">
        <f>1.96*mgmt!G259</f>
        <v>3.3908000000000001E-2</v>
      </c>
      <c r="FC47" s="14">
        <f>mgmt!H259</f>
        <v>2.18E-2</v>
      </c>
      <c r="FD47" s="14">
        <f>1.96*mgmt!I259</f>
        <v>1.9207999999999999E-2</v>
      </c>
    </row>
    <row r="48" spans="19:180" x14ac:dyDescent="0.25">
      <c r="BH48" s="6">
        <f>b2a!A284</f>
        <v>70</v>
      </c>
      <c r="BI48" s="14">
        <f>b2a!B284</f>
        <v>0.61319999999999997</v>
      </c>
      <c r="BJ48" s="14">
        <f>b2a!D284</f>
        <v>0.17419999999999999</v>
      </c>
      <c r="BK48" s="14">
        <f>b2a!F284</f>
        <v>0.19040000000000001</v>
      </c>
      <c r="BL48" s="14">
        <f>b2a!H284</f>
        <v>2.2100000000000002E-2</v>
      </c>
      <c r="BZ48" s="6">
        <f>b4a!$A255</f>
        <v>38</v>
      </c>
      <c r="CA48" s="14">
        <f>b4a!$B255</f>
        <v>0.66979999999999995</v>
      </c>
      <c r="CB48" s="14">
        <f>b4a!$D255</f>
        <v>0.16200000000000001</v>
      </c>
      <c r="CC48" s="14">
        <f>b4a!$F255</f>
        <v>0.1537</v>
      </c>
      <c r="CD48" s="14">
        <f>b4a!$H255</f>
        <v>1.44E-2</v>
      </c>
      <c r="CN48" s="6">
        <f>'b7'!$A257</f>
        <v>38</v>
      </c>
      <c r="CO48" s="14">
        <f>'b7'!$B257</f>
        <v>0.68140000000000001</v>
      </c>
      <c r="CP48" s="14">
        <f>'b7'!$D257</f>
        <v>0.1469</v>
      </c>
      <c r="CQ48" s="14">
        <f>'b7'!$F257</f>
        <v>0.15240000000000001</v>
      </c>
      <c r="CR48" s="14">
        <f>'b7'!$H257</f>
        <v>1.9300000000000001E-2</v>
      </c>
      <c r="EV48" s="7">
        <f>mgmt!$A260</f>
        <v>0.33</v>
      </c>
      <c r="EW48" s="14">
        <f>mgmt!B260</f>
        <v>0.70140000000000002</v>
      </c>
      <c r="EX48" s="14">
        <f>1.96*mgmt!C260</f>
        <v>5.6840000000000002E-2</v>
      </c>
      <c r="EY48" s="14">
        <f>mgmt!D260</f>
        <v>0.1429</v>
      </c>
      <c r="EZ48" s="14">
        <f>1.96*mgmt!E260</f>
        <v>5.1352000000000002E-2</v>
      </c>
      <c r="FA48" s="14">
        <f>mgmt!F260</f>
        <v>0.1341</v>
      </c>
      <c r="FB48" s="14">
        <f>1.96*mgmt!G260</f>
        <v>3.3515999999999997E-2</v>
      </c>
      <c r="FC48" s="14">
        <f>mgmt!H260</f>
        <v>2.1600000000000001E-2</v>
      </c>
      <c r="FD48" s="14">
        <f>1.96*mgmt!I260</f>
        <v>1.8423999999999999E-2</v>
      </c>
    </row>
    <row r="49" spans="19:160" x14ac:dyDescent="0.25">
      <c r="BH49" s="6">
        <f>b2a!A285</f>
        <v>71</v>
      </c>
      <c r="BI49" s="14">
        <f>b2a!B285</f>
        <v>0.61519999999999997</v>
      </c>
      <c r="BJ49" s="14">
        <f>b2a!D285</f>
        <v>0.17399999999999999</v>
      </c>
      <c r="BK49" s="14">
        <f>b2a!F285</f>
        <v>0.189</v>
      </c>
      <c r="BL49" s="14">
        <f>b2a!H285</f>
        <v>2.18E-2</v>
      </c>
      <c r="BZ49" s="6">
        <f>b4a!$A256</f>
        <v>39</v>
      </c>
      <c r="CA49" s="14">
        <f>b4a!$B256</f>
        <v>0.6704</v>
      </c>
      <c r="CB49" s="14">
        <f>b4a!$D256</f>
        <v>0.16159999999999999</v>
      </c>
      <c r="CC49" s="14">
        <f>b4a!$F256</f>
        <v>0.15359999999999999</v>
      </c>
      <c r="CD49" s="14">
        <f>b4a!$H256</f>
        <v>1.43E-2</v>
      </c>
      <c r="CN49" s="6">
        <f>'b7'!$A258</f>
        <v>39</v>
      </c>
      <c r="CO49" s="14">
        <f>'b7'!$B258</f>
        <v>0.68300000000000005</v>
      </c>
      <c r="CP49" s="14">
        <f>'b7'!$D258</f>
        <v>0.14560000000000001</v>
      </c>
      <c r="CQ49" s="14">
        <f>'b7'!$F258</f>
        <v>0.15190000000000001</v>
      </c>
      <c r="CR49" s="14">
        <f>'b7'!$H258</f>
        <v>1.95E-2</v>
      </c>
      <c r="EV49" s="7">
        <f>mgmt!$A261</f>
        <v>0.3332</v>
      </c>
      <c r="EW49" s="14">
        <f>mgmt!B261</f>
        <v>0.70079999999999998</v>
      </c>
      <c r="EX49" s="14">
        <f>1.96*mgmt!C261</f>
        <v>5.6447999999999998E-2</v>
      </c>
      <c r="EY49" s="14">
        <f>mgmt!D261</f>
        <v>0.14330000000000001</v>
      </c>
      <c r="EZ49" s="14">
        <f>1.96*mgmt!E261</f>
        <v>5.0959999999999998E-2</v>
      </c>
      <c r="FA49" s="14">
        <f>mgmt!F261</f>
        <v>0.13450000000000001</v>
      </c>
      <c r="FB49" s="14">
        <f>1.96*mgmt!G261</f>
        <v>3.3320000000000002E-2</v>
      </c>
      <c r="FC49" s="14">
        <f>mgmt!H261</f>
        <v>2.1499999999999998E-2</v>
      </c>
      <c r="FD49" s="14">
        <f>1.96*mgmt!I261</f>
        <v>1.8227999999999998E-2</v>
      </c>
    </row>
    <row r="50" spans="19:160" x14ac:dyDescent="0.25">
      <c r="BH50" s="6">
        <f>b2a!A286</f>
        <v>73</v>
      </c>
      <c r="BI50" s="14">
        <f>b2a!B286</f>
        <v>0.61909999999999998</v>
      </c>
      <c r="BJ50" s="14">
        <f>b2a!D286</f>
        <v>0.1734</v>
      </c>
      <c r="BK50" s="14">
        <f>b2a!F286</f>
        <v>0.18629999999999999</v>
      </c>
      <c r="BL50" s="14">
        <f>b2a!H286</f>
        <v>2.1100000000000001E-2</v>
      </c>
      <c r="BZ50" s="6">
        <f>b4a!$A257</f>
        <v>40</v>
      </c>
      <c r="CA50" s="14">
        <f>b4a!$B257</f>
        <v>0.67090000000000005</v>
      </c>
      <c r="CB50" s="14">
        <f>b4a!$D257</f>
        <v>0.1613</v>
      </c>
      <c r="CC50" s="14">
        <f>b4a!$F257</f>
        <v>0.1535</v>
      </c>
      <c r="CD50" s="14">
        <f>b4a!$H257</f>
        <v>1.43E-2</v>
      </c>
      <c r="CN50" s="6">
        <f>'b7'!$A259</f>
        <v>40</v>
      </c>
      <c r="CO50" s="14">
        <f>'b7'!$B259</f>
        <v>0.68469999999999998</v>
      </c>
      <c r="CP50" s="14">
        <f>'b7'!$D259</f>
        <v>0.14430000000000001</v>
      </c>
      <c r="CQ50" s="14">
        <f>'b7'!$F259</f>
        <v>0.15129999999999999</v>
      </c>
      <c r="CR50" s="14">
        <f>'b7'!$H259</f>
        <v>1.9699999999999999E-2</v>
      </c>
      <c r="EV50" s="7">
        <f>mgmt!$A262</f>
        <v>0.33339999999999997</v>
      </c>
      <c r="EW50" s="14">
        <f>mgmt!B262</f>
        <v>0.70069999999999999</v>
      </c>
      <c r="EX50" s="14">
        <f>1.96*mgmt!C262</f>
        <v>5.6251999999999996E-2</v>
      </c>
      <c r="EY50" s="14">
        <f>mgmt!D262</f>
        <v>0.14330000000000001</v>
      </c>
      <c r="EZ50" s="14">
        <f>1.96*mgmt!E262</f>
        <v>5.0959999999999998E-2</v>
      </c>
      <c r="FA50" s="14">
        <f>mgmt!F262</f>
        <v>0.13450000000000001</v>
      </c>
      <c r="FB50" s="14">
        <f>1.96*mgmt!G262</f>
        <v>3.3320000000000002E-2</v>
      </c>
      <c r="FC50" s="14">
        <f>mgmt!H262</f>
        <v>2.1499999999999998E-2</v>
      </c>
      <c r="FD50" s="14">
        <f>1.96*mgmt!I262</f>
        <v>1.8227999999999998E-2</v>
      </c>
    </row>
    <row r="51" spans="19:160" x14ac:dyDescent="0.25">
      <c r="BH51" s="6">
        <f>b2a!A287</f>
        <v>75</v>
      </c>
      <c r="BI51" s="14">
        <f>b2a!B287</f>
        <v>0.62309999999999999</v>
      </c>
      <c r="BJ51" s="14">
        <f>b2a!D287</f>
        <v>0.1729</v>
      </c>
      <c r="BK51" s="14">
        <f>b2a!F287</f>
        <v>0.18360000000000001</v>
      </c>
      <c r="BL51" s="14">
        <f>b2a!H287</f>
        <v>2.0500000000000001E-2</v>
      </c>
      <c r="BZ51" s="6">
        <f>b4a!$A258</f>
        <v>41</v>
      </c>
      <c r="CA51" s="14">
        <f>b4a!$B258</f>
        <v>0.67149999999999999</v>
      </c>
      <c r="CB51" s="14">
        <f>b4a!$D258</f>
        <v>0.16089999999999999</v>
      </c>
      <c r="CC51" s="14">
        <f>b4a!$F258</f>
        <v>0.15340000000000001</v>
      </c>
      <c r="CD51" s="14">
        <f>b4a!$H258</f>
        <v>1.4200000000000001E-2</v>
      </c>
      <c r="CN51" s="6">
        <f>'b7'!$A260</f>
        <v>41</v>
      </c>
      <c r="CO51" s="14">
        <f>'b7'!$B260</f>
        <v>0.68630000000000002</v>
      </c>
      <c r="CP51" s="14">
        <f>'b7'!$D260</f>
        <v>0.14299999999999999</v>
      </c>
      <c r="CQ51" s="14">
        <f>'b7'!$F260</f>
        <v>0.15079999999999999</v>
      </c>
      <c r="CR51" s="14">
        <f>'b7'!$H260</f>
        <v>1.9900000000000001E-2</v>
      </c>
      <c r="EV51" s="7">
        <f>mgmt!$A263</f>
        <v>0.34339999999999998</v>
      </c>
      <c r="EW51" s="14">
        <f>mgmt!B263</f>
        <v>0.69869999999999999</v>
      </c>
      <c r="EX51" s="14">
        <f>1.96*mgmt!C263</f>
        <v>5.4879999999999998E-2</v>
      </c>
      <c r="EY51" s="14">
        <f>mgmt!D263</f>
        <v>0.1444</v>
      </c>
      <c r="EZ51" s="14">
        <f>1.96*mgmt!E263</f>
        <v>4.9588E-2</v>
      </c>
      <c r="FA51" s="14">
        <f>mgmt!F263</f>
        <v>0.13569999999999999</v>
      </c>
      <c r="FB51" s="14">
        <f>1.96*mgmt!G263</f>
        <v>3.2731999999999997E-2</v>
      </c>
      <c r="FC51" s="14">
        <f>mgmt!H263</f>
        <v>2.1100000000000001E-2</v>
      </c>
      <c r="FD51" s="14">
        <f>1.96*mgmt!I263</f>
        <v>1.7247999999999999E-2</v>
      </c>
    </row>
    <row r="52" spans="19:160" x14ac:dyDescent="0.25">
      <c r="T52" t="s">
        <v>286</v>
      </c>
      <c r="U52" t="s">
        <v>288</v>
      </c>
      <c r="V52" t="s">
        <v>289</v>
      </c>
      <c r="W52" t="s">
        <v>287</v>
      </c>
      <c r="BH52" s="6">
        <f>b2a!A288</f>
        <v>80</v>
      </c>
      <c r="BI52" s="14">
        <f>b2a!B288</f>
        <v>0.63270000000000004</v>
      </c>
      <c r="BJ52" s="14">
        <f>b2a!D288</f>
        <v>0.1714</v>
      </c>
      <c r="BK52" s="14">
        <f>b2a!F288</f>
        <v>0.1769</v>
      </c>
      <c r="BL52" s="14">
        <f>b2a!H288</f>
        <v>1.9E-2</v>
      </c>
      <c r="BZ52" s="6">
        <f>b4a!$A259</f>
        <v>42</v>
      </c>
      <c r="CA52" s="14">
        <f>b4a!$B259</f>
        <v>0.67200000000000004</v>
      </c>
      <c r="CB52" s="14">
        <f>b4a!$D259</f>
        <v>0.16059999999999999</v>
      </c>
      <c r="CC52" s="14">
        <f>b4a!$F259</f>
        <v>0.15329999999999999</v>
      </c>
      <c r="CD52" s="14">
        <f>b4a!$H259</f>
        <v>1.41E-2</v>
      </c>
      <c r="CN52" s="6">
        <f>'b7'!$A261</f>
        <v>42</v>
      </c>
      <c r="CO52" s="14">
        <f>'b7'!$B261</f>
        <v>0.68789999999999996</v>
      </c>
      <c r="CP52" s="14">
        <f>'b7'!$D261</f>
        <v>0.1416</v>
      </c>
      <c r="CQ52" s="14">
        <f>'b7'!$F261</f>
        <v>0.15029999999999999</v>
      </c>
      <c r="CR52" s="14">
        <f>'b7'!$H261</f>
        <v>2.0199999999999999E-2</v>
      </c>
      <c r="EV52" s="7">
        <f>mgmt!$A264</f>
        <v>0.34660000000000002</v>
      </c>
      <c r="EW52" s="14">
        <f>mgmt!B264</f>
        <v>0.69810000000000005</v>
      </c>
      <c r="EX52" s="14">
        <f>1.96*mgmt!C264</f>
        <v>5.4292E-2</v>
      </c>
      <c r="EY52" s="14">
        <f>mgmt!D264</f>
        <v>0.14480000000000001</v>
      </c>
      <c r="EZ52" s="14">
        <f>1.96*mgmt!E264</f>
        <v>4.9196000000000004E-2</v>
      </c>
      <c r="FA52" s="14">
        <f>mgmt!F264</f>
        <v>0.1361</v>
      </c>
      <c r="FB52" s="14">
        <f>1.96*mgmt!G264</f>
        <v>3.2536000000000002E-2</v>
      </c>
      <c r="FC52" s="14">
        <f>mgmt!H264</f>
        <v>2.1000000000000001E-2</v>
      </c>
      <c r="FD52" s="14">
        <f>1.96*mgmt!I264</f>
        <v>1.7051999999999998E-2</v>
      </c>
    </row>
    <row r="53" spans="19:160" x14ac:dyDescent="0.25">
      <c r="S53" t="s">
        <v>281</v>
      </c>
      <c r="T53">
        <v>0.72729999999999995</v>
      </c>
      <c r="U53">
        <v>0.14899999999999999</v>
      </c>
      <c r="V53">
        <v>0.1237</v>
      </c>
      <c r="W53">
        <v>0</v>
      </c>
      <c r="BH53" s="6">
        <f>b2a!A289</f>
        <v>82</v>
      </c>
      <c r="BI53" s="14">
        <f>b2a!B289</f>
        <v>0.63649999999999995</v>
      </c>
      <c r="BJ53" s="14">
        <f>b2a!D289</f>
        <v>0.17080000000000001</v>
      </c>
      <c r="BK53" s="14">
        <f>b2a!F289</f>
        <v>0.17430000000000001</v>
      </c>
      <c r="BL53" s="14">
        <f>b2a!H289</f>
        <v>1.84E-2</v>
      </c>
      <c r="BZ53" s="6">
        <f>b4a!$A260</f>
        <v>43</v>
      </c>
      <c r="CA53" s="14">
        <f>b4a!$B260</f>
        <v>0.67259999999999998</v>
      </c>
      <c r="CB53" s="14">
        <f>b4a!$D260</f>
        <v>0.16020000000000001</v>
      </c>
      <c r="CC53" s="14">
        <f>b4a!$F260</f>
        <v>0.1532</v>
      </c>
      <c r="CD53" s="14">
        <f>b4a!$H260</f>
        <v>1.4E-2</v>
      </c>
      <c r="CN53" s="6">
        <f>'b7'!$A262</f>
        <v>43</v>
      </c>
      <c r="CO53" s="14">
        <f>'b7'!$B262</f>
        <v>0.6895</v>
      </c>
      <c r="CP53" s="14">
        <f>'b7'!$D262</f>
        <v>0.14030000000000001</v>
      </c>
      <c r="CQ53" s="14">
        <f>'b7'!$F262</f>
        <v>0.1497</v>
      </c>
      <c r="CR53" s="14">
        <f>'b7'!$H262</f>
        <v>2.0400000000000001E-2</v>
      </c>
      <c r="EV53" s="7">
        <f>mgmt!$A265</f>
        <v>0.3468</v>
      </c>
      <c r="EW53" s="14">
        <f>mgmt!B265</f>
        <v>0.69799999999999995</v>
      </c>
      <c r="EX53" s="14">
        <f>1.96*mgmt!C265</f>
        <v>5.4292E-2</v>
      </c>
      <c r="EY53" s="14">
        <f>mgmt!D265</f>
        <v>0.14480000000000001</v>
      </c>
      <c r="EZ53" s="14">
        <f>1.96*mgmt!E265</f>
        <v>4.9196000000000004E-2</v>
      </c>
      <c r="FA53" s="14">
        <f>mgmt!F265</f>
        <v>0.13619999999999999</v>
      </c>
      <c r="FB53" s="14">
        <f>1.96*mgmt!G265</f>
        <v>3.2536000000000002E-2</v>
      </c>
      <c r="FC53" s="14">
        <f>mgmt!H265</f>
        <v>2.1000000000000001E-2</v>
      </c>
      <c r="FD53" s="14">
        <f>1.96*mgmt!I265</f>
        <v>1.7051999999999998E-2</v>
      </c>
    </row>
    <row r="54" spans="19:160" x14ac:dyDescent="0.25">
      <c r="S54" t="s">
        <v>279</v>
      </c>
      <c r="T54">
        <v>0.68589999999999995</v>
      </c>
      <c r="U54">
        <v>0.161</v>
      </c>
      <c r="V54">
        <v>0.15310000000000001</v>
      </c>
      <c r="W54">
        <v>0</v>
      </c>
      <c r="BH54" s="6">
        <f>b2a!A290</f>
        <v>85</v>
      </c>
      <c r="BI54" s="14">
        <f>b2a!B290</f>
        <v>0.64219999999999999</v>
      </c>
      <c r="BJ54" s="14">
        <f>b2a!D290</f>
        <v>0.1699</v>
      </c>
      <c r="BK54" s="14">
        <f>b2a!F290</f>
        <v>0.1704</v>
      </c>
      <c r="BL54" s="14">
        <f>b2a!H290</f>
        <v>1.7500000000000002E-2</v>
      </c>
      <c r="BZ54" s="6">
        <f>b4a!$A261</f>
        <v>44</v>
      </c>
      <c r="CA54" s="14">
        <f>b4a!$B261</f>
        <v>0.67310000000000003</v>
      </c>
      <c r="CB54" s="14">
        <f>b4a!$D261</f>
        <v>0.15989999999999999</v>
      </c>
      <c r="CC54" s="14">
        <f>b4a!$F261</f>
        <v>0.15310000000000001</v>
      </c>
      <c r="CD54" s="14">
        <f>b4a!$H261</f>
        <v>1.3899999999999999E-2</v>
      </c>
      <c r="CN54" s="6">
        <f>'b7'!$A263</f>
        <v>44</v>
      </c>
      <c r="CO54" s="14">
        <f>'b7'!$B263</f>
        <v>0.69110000000000005</v>
      </c>
      <c r="CP54" s="14">
        <f>'b7'!$D263</f>
        <v>0.1391</v>
      </c>
      <c r="CQ54" s="14">
        <f>'b7'!$F263</f>
        <v>0.1492</v>
      </c>
      <c r="CR54" s="14">
        <f>'b7'!$H263</f>
        <v>2.06E-2</v>
      </c>
      <c r="EV54" s="7">
        <f>mgmt!$A266</f>
        <v>0.35</v>
      </c>
      <c r="EW54" s="14">
        <f>mgmt!B266</f>
        <v>0.69740000000000002</v>
      </c>
      <c r="EX54" s="14">
        <f>1.96*mgmt!C266</f>
        <v>5.3899999999999997E-2</v>
      </c>
      <c r="EY54" s="14">
        <f>mgmt!D266</f>
        <v>0.1452</v>
      </c>
      <c r="EZ54" s="14">
        <f>1.96*mgmt!E266</f>
        <v>4.8803999999999993E-2</v>
      </c>
      <c r="FA54" s="14">
        <f>mgmt!F266</f>
        <v>0.1366</v>
      </c>
      <c r="FB54" s="14">
        <f>1.96*mgmt!G266</f>
        <v>3.2340000000000001E-2</v>
      </c>
      <c r="FC54" s="14">
        <f>mgmt!H266</f>
        <v>2.0899999999999998E-2</v>
      </c>
      <c r="FD54" s="14">
        <f>1.96*mgmt!I266</f>
        <v>1.6660000000000001E-2</v>
      </c>
    </row>
    <row r="55" spans="19:160" x14ac:dyDescent="0.25">
      <c r="S55" t="s">
        <v>276</v>
      </c>
      <c r="T55">
        <v>0.51719999999999999</v>
      </c>
      <c r="U55">
        <v>0.27979999999999999</v>
      </c>
      <c r="V55">
        <v>0.2031</v>
      </c>
      <c r="W55">
        <v>0</v>
      </c>
      <c r="BH55" s="6">
        <f>b2a!A291</f>
        <v>90</v>
      </c>
      <c r="BI55" s="14">
        <f>b2a!B291</f>
        <v>0.65149999999999997</v>
      </c>
      <c r="BJ55" s="14">
        <f>b2a!D291</f>
        <v>0.16830000000000001</v>
      </c>
      <c r="BK55" s="14">
        <f>b2a!F291</f>
        <v>0.16400000000000001</v>
      </c>
      <c r="BL55" s="14">
        <f>b2a!H291</f>
        <v>1.6199999999999999E-2</v>
      </c>
      <c r="BZ55" s="6">
        <f>b4a!$A262</f>
        <v>45</v>
      </c>
      <c r="CA55" s="14">
        <f>b4a!$B262</f>
        <v>0.67359999999999998</v>
      </c>
      <c r="CB55" s="14">
        <f>b4a!$D262</f>
        <v>0.1595</v>
      </c>
      <c r="CC55" s="14">
        <f>b4a!$F262</f>
        <v>0.153</v>
      </c>
      <c r="CD55" s="14">
        <f>b4a!$H262</f>
        <v>1.38E-2</v>
      </c>
      <c r="CN55" s="6">
        <f>'b7'!$A264</f>
        <v>45</v>
      </c>
      <c r="CO55" s="14">
        <f>'b7'!$B264</f>
        <v>0.69269999999999998</v>
      </c>
      <c r="CP55" s="14">
        <f>'b7'!$D264</f>
        <v>0.13780000000000001</v>
      </c>
      <c r="CQ55" s="14">
        <f>'b7'!$F264</f>
        <v>0.1487</v>
      </c>
      <c r="CR55" s="14">
        <f>'b7'!$H264</f>
        <v>2.0899999999999998E-2</v>
      </c>
      <c r="EV55" s="7">
        <f>mgmt!$A267</f>
        <v>0.35339999999999999</v>
      </c>
      <c r="EW55" s="14">
        <f>mgmt!B267</f>
        <v>0.69669999999999999</v>
      </c>
      <c r="EX55" s="14">
        <f>1.96*mgmt!C267</f>
        <v>5.3311999999999998E-2</v>
      </c>
      <c r="EY55" s="14">
        <f>mgmt!D267</f>
        <v>0.14549999999999999</v>
      </c>
      <c r="EZ55" s="14">
        <f>1.96*mgmt!E267</f>
        <v>4.8411999999999997E-2</v>
      </c>
      <c r="FA55" s="14">
        <f>mgmt!F267</f>
        <v>0.13700000000000001</v>
      </c>
      <c r="FB55" s="14">
        <f>1.96*mgmt!G267</f>
        <v>3.2143999999999999E-2</v>
      </c>
      <c r="FC55" s="14">
        <f>mgmt!H267</f>
        <v>2.0799999999999999E-2</v>
      </c>
      <c r="FD55" s="14">
        <f>1.96*mgmt!I267</f>
        <v>1.6463999999999999E-2</v>
      </c>
    </row>
    <row r="56" spans="19:160" x14ac:dyDescent="0.25">
      <c r="S56" t="s">
        <v>280</v>
      </c>
      <c r="T56">
        <v>0.71220000000000006</v>
      </c>
      <c r="U56">
        <v>0.19969999999999999</v>
      </c>
      <c r="V56">
        <v>7.4999999999999997E-2</v>
      </c>
      <c r="W56">
        <v>1.3100000000000001E-2</v>
      </c>
      <c r="BH56" s="6">
        <f>b2a!A292</f>
        <v>94</v>
      </c>
      <c r="BI56" s="14">
        <f>b2a!B292</f>
        <v>0.65880000000000005</v>
      </c>
      <c r="BJ56" s="14">
        <f>b2a!D292</f>
        <v>0.16700000000000001</v>
      </c>
      <c r="BK56" s="14">
        <f>b2a!F292</f>
        <v>0.159</v>
      </c>
      <c r="BL56" s="14">
        <f>b2a!H292</f>
        <v>1.52E-2</v>
      </c>
      <c r="BZ56" s="6">
        <f>b4a!$A263</f>
        <v>46</v>
      </c>
      <c r="CA56" s="14">
        <f>b4a!$B263</f>
        <v>0.67420000000000002</v>
      </c>
      <c r="CB56" s="14">
        <f>b4a!$D263</f>
        <v>0.15920000000000001</v>
      </c>
      <c r="CC56" s="14">
        <f>b4a!$F263</f>
        <v>0.15290000000000001</v>
      </c>
      <c r="CD56" s="14">
        <f>b4a!$H263</f>
        <v>1.38E-2</v>
      </c>
      <c r="CN56" s="6">
        <f>'b7'!$A265</f>
        <v>46</v>
      </c>
      <c r="CO56" s="14">
        <f>'b7'!$B265</f>
        <v>0.69430000000000003</v>
      </c>
      <c r="CP56" s="14">
        <f>'b7'!$D265</f>
        <v>0.13650000000000001</v>
      </c>
      <c r="CQ56" s="14">
        <f>'b7'!$F265</f>
        <v>0.14810000000000001</v>
      </c>
      <c r="CR56" s="14">
        <f>'b7'!$H265</f>
        <v>2.1100000000000001E-2</v>
      </c>
      <c r="EV56" s="7">
        <f>mgmt!$A268</f>
        <v>0.35680000000000001</v>
      </c>
      <c r="EW56" s="14">
        <f>mgmt!B268</f>
        <v>0.69599999999999995</v>
      </c>
      <c r="EX56" s="14">
        <f>1.96*mgmt!C268</f>
        <v>5.2920000000000002E-2</v>
      </c>
      <c r="EY56" s="14">
        <f>mgmt!D268</f>
        <v>0.1459</v>
      </c>
      <c r="EZ56" s="14">
        <f>1.96*mgmt!E268</f>
        <v>4.7824000000000005E-2</v>
      </c>
      <c r="FA56" s="14">
        <f>mgmt!F268</f>
        <v>0.13739999999999999</v>
      </c>
      <c r="FB56" s="14">
        <f>1.96*mgmt!G268</f>
        <v>3.2143999999999999E-2</v>
      </c>
      <c r="FC56" s="14">
        <f>mgmt!H268</f>
        <v>2.07E-2</v>
      </c>
      <c r="FD56" s="14">
        <f>1.96*mgmt!I268</f>
        <v>1.6071999999999999E-2</v>
      </c>
    </row>
    <row r="57" spans="19:160" x14ac:dyDescent="0.25">
      <c r="S57" t="s">
        <v>278</v>
      </c>
      <c r="T57">
        <v>0.66549999999999998</v>
      </c>
      <c r="U57">
        <v>0.1971</v>
      </c>
      <c r="V57">
        <v>0.1242</v>
      </c>
      <c r="W57">
        <v>1.32E-2</v>
      </c>
      <c r="BH57" s="6">
        <f>b2a!A293</f>
        <v>95</v>
      </c>
      <c r="BI57" s="14">
        <f>b2a!B293</f>
        <v>0.66059999999999997</v>
      </c>
      <c r="BJ57" s="14">
        <f>b2a!D293</f>
        <v>0.16669999999999999</v>
      </c>
      <c r="BK57" s="14">
        <f>b2a!F293</f>
        <v>0.1578</v>
      </c>
      <c r="BL57" s="14">
        <f>b2a!H293</f>
        <v>1.49E-2</v>
      </c>
      <c r="BZ57" s="6">
        <f>b4a!$A264</f>
        <v>47</v>
      </c>
      <c r="CA57" s="14">
        <f>b4a!$B264</f>
        <v>0.67469999999999997</v>
      </c>
      <c r="CB57" s="14">
        <f>b4a!$D264</f>
        <v>0.1588</v>
      </c>
      <c r="CC57" s="14">
        <f>b4a!$F264</f>
        <v>0.15279999999999999</v>
      </c>
      <c r="CD57" s="14">
        <f>b4a!$H264</f>
        <v>1.37E-2</v>
      </c>
      <c r="CN57" s="6">
        <f>'b7'!$A266</f>
        <v>47</v>
      </c>
      <c r="CO57" s="14">
        <f>'b7'!$B266</f>
        <v>0.69589999999999996</v>
      </c>
      <c r="CP57" s="14">
        <f>'b7'!$D266</f>
        <v>0.13519999999999999</v>
      </c>
      <c r="CQ57" s="14">
        <f>'b7'!$F266</f>
        <v>0.14760000000000001</v>
      </c>
      <c r="CR57" s="14">
        <f>'b7'!$H266</f>
        <v>2.1299999999999999E-2</v>
      </c>
      <c r="EV57" s="7">
        <f>mgmt!$A269</f>
        <v>0.35980000000000001</v>
      </c>
      <c r="EW57" s="14">
        <f>mgmt!B269</f>
        <v>0.69540000000000002</v>
      </c>
      <c r="EX57" s="14">
        <f>1.96*mgmt!C269</f>
        <v>5.2527999999999998E-2</v>
      </c>
      <c r="EY57" s="14">
        <f>mgmt!D269</f>
        <v>0.14630000000000001</v>
      </c>
      <c r="EZ57" s="14">
        <f>1.96*mgmt!E269</f>
        <v>4.7431999999999995E-2</v>
      </c>
      <c r="FA57" s="14">
        <f>mgmt!F269</f>
        <v>0.13780000000000001</v>
      </c>
      <c r="FB57" s="14">
        <f>1.96*mgmt!G269</f>
        <v>3.1947999999999997E-2</v>
      </c>
      <c r="FC57" s="14">
        <f>mgmt!H269</f>
        <v>2.06E-2</v>
      </c>
      <c r="FD57" s="14">
        <f>1.96*mgmt!I269</f>
        <v>1.5875999999999998E-2</v>
      </c>
    </row>
    <row r="58" spans="19:160" x14ac:dyDescent="0.25">
      <c r="S58" t="s">
        <v>282</v>
      </c>
      <c r="T58">
        <v>0.66</v>
      </c>
      <c r="U58">
        <v>0.15720000000000001</v>
      </c>
      <c r="V58">
        <v>0.16900000000000001</v>
      </c>
      <c r="W58">
        <v>1.3899999999999999E-2</v>
      </c>
      <c r="BH58" s="6">
        <f>b2a!A294</f>
        <v>97</v>
      </c>
      <c r="BI58" s="14">
        <f>b2a!B294</f>
        <v>0.66420000000000001</v>
      </c>
      <c r="BJ58" s="14">
        <f>b2a!D294</f>
        <v>0.16600000000000001</v>
      </c>
      <c r="BK58" s="14">
        <f>b2a!F294</f>
        <v>0.15529999999999999</v>
      </c>
      <c r="BL58" s="14">
        <f>b2a!H294</f>
        <v>1.4500000000000001E-2</v>
      </c>
      <c r="BZ58" s="6">
        <f>b4a!$A265</f>
        <v>48</v>
      </c>
      <c r="CA58" s="14">
        <f>b4a!$B265</f>
        <v>0.67530000000000001</v>
      </c>
      <c r="CB58" s="14">
        <f>b4a!$D265</f>
        <v>0.1585</v>
      </c>
      <c r="CC58" s="14">
        <f>b4a!$F265</f>
        <v>0.1527</v>
      </c>
      <c r="CD58" s="14">
        <f>b4a!$H265</f>
        <v>1.3599999999999999E-2</v>
      </c>
      <c r="CN58" s="6">
        <f>'b7'!$A267</f>
        <v>48</v>
      </c>
      <c r="CO58" s="14">
        <f>'b7'!$B267</f>
        <v>0.69740000000000002</v>
      </c>
      <c r="CP58" s="14">
        <f>'b7'!$D267</f>
        <v>0.13400000000000001</v>
      </c>
      <c r="CQ58" s="14">
        <f>'b7'!$F267</f>
        <v>0.14699999999999999</v>
      </c>
      <c r="CR58" s="14">
        <f>'b7'!$H267</f>
        <v>2.1600000000000001E-2</v>
      </c>
      <c r="EV58" s="7">
        <f>mgmt!$A270</f>
        <v>0.36</v>
      </c>
      <c r="EW58" s="14">
        <f>mgmt!B270</f>
        <v>0.69530000000000003</v>
      </c>
      <c r="EX58" s="14">
        <f>1.96*mgmt!C270</f>
        <v>5.2332000000000004E-2</v>
      </c>
      <c r="EY58" s="14">
        <f>mgmt!D270</f>
        <v>0.14630000000000001</v>
      </c>
      <c r="EZ58" s="14">
        <f>1.96*mgmt!E270</f>
        <v>4.7431999999999995E-2</v>
      </c>
      <c r="FA58" s="14">
        <f>mgmt!F270</f>
        <v>0.13780000000000001</v>
      </c>
      <c r="FB58" s="14">
        <f>1.96*mgmt!G270</f>
        <v>3.1947999999999997E-2</v>
      </c>
      <c r="FC58" s="14">
        <f>mgmt!H270</f>
        <v>2.06E-2</v>
      </c>
      <c r="FD58" s="14">
        <f>1.96*mgmt!I270</f>
        <v>1.5875999999999998E-2</v>
      </c>
    </row>
    <row r="59" spans="19:160" x14ac:dyDescent="0.25">
      <c r="S59" t="s">
        <v>275</v>
      </c>
      <c r="T59">
        <v>0.74419999999999997</v>
      </c>
      <c r="U59">
        <v>0.11799999999999999</v>
      </c>
      <c r="V59">
        <v>0.1144</v>
      </c>
      <c r="W59">
        <v>2.3300000000000001E-2</v>
      </c>
      <c r="BH59" s="6">
        <f>b2a!A295</f>
        <v>98</v>
      </c>
      <c r="BI59" s="14">
        <f>b2a!B295</f>
        <v>0.66600000000000004</v>
      </c>
      <c r="BJ59" s="14">
        <f>b2a!D295</f>
        <v>0.16569999999999999</v>
      </c>
      <c r="BK59" s="14">
        <f>b2a!F295</f>
        <v>0.15409999999999999</v>
      </c>
      <c r="BL59" s="14">
        <f>b2a!H295</f>
        <v>1.4200000000000001E-2</v>
      </c>
      <c r="BZ59" s="6">
        <f>b4a!$A266</f>
        <v>49</v>
      </c>
      <c r="CA59" s="14">
        <f>b4a!$B266</f>
        <v>0.67579999999999996</v>
      </c>
      <c r="CB59" s="14">
        <f>b4a!$D266</f>
        <v>0.15809999999999999</v>
      </c>
      <c r="CC59" s="14">
        <f>b4a!$F266</f>
        <v>0.15260000000000001</v>
      </c>
      <c r="CD59" s="14">
        <f>b4a!$H266</f>
        <v>1.35E-2</v>
      </c>
      <c r="CN59" s="6">
        <f>'b7'!$A268</f>
        <v>49</v>
      </c>
      <c r="CO59" s="14">
        <f>'b7'!$B268</f>
        <v>0.69899999999999995</v>
      </c>
      <c r="CP59" s="14">
        <f>'b7'!$D268</f>
        <v>0.13270000000000001</v>
      </c>
      <c r="CQ59" s="14">
        <f>'b7'!$F268</f>
        <v>0.14649999999999999</v>
      </c>
      <c r="CR59" s="14">
        <f>'b7'!$H268</f>
        <v>2.18E-2</v>
      </c>
      <c r="EV59" s="7">
        <f>mgmt!$A271</f>
        <v>0.3634</v>
      </c>
      <c r="EW59" s="14">
        <f>mgmt!B271</f>
        <v>0.6946</v>
      </c>
      <c r="EX59" s="14">
        <f>1.96*mgmt!C271</f>
        <v>5.194E-2</v>
      </c>
      <c r="EY59" s="14">
        <f>mgmt!D271</f>
        <v>0.1467</v>
      </c>
      <c r="EZ59" s="14">
        <f>1.96*mgmt!E271</f>
        <v>4.7039999999999998E-2</v>
      </c>
      <c r="FA59" s="14">
        <f>mgmt!F271</f>
        <v>0.13819999999999999</v>
      </c>
      <c r="FB59" s="14">
        <f>1.96*mgmt!G271</f>
        <v>3.1751999999999996E-2</v>
      </c>
      <c r="FC59" s="14">
        <f>mgmt!H271</f>
        <v>2.0500000000000001E-2</v>
      </c>
      <c r="FD59" s="14">
        <f>1.96*mgmt!I271</f>
        <v>1.5484000000000001E-2</v>
      </c>
    </row>
    <row r="60" spans="19:160" x14ac:dyDescent="0.25">
      <c r="S60" t="s">
        <v>272</v>
      </c>
      <c r="T60">
        <v>0.50609999999999999</v>
      </c>
      <c r="U60">
        <v>0.1411</v>
      </c>
      <c r="V60">
        <v>0.3246</v>
      </c>
      <c r="W60">
        <v>2.8199999999999999E-2</v>
      </c>
      <c r="BH60" s="6">
        <f>b2a!A296</f>
        <v>99</v>
      </c>
      <c r="BI60" s="14">
        <f>b2a!B296</f>
        <v>0.66769999999999996</v>
      </c>
      <c r="BJ60" s="14">
        <f>b2a!D296</f>
        <v>0.1653</v>
      </c>
      <c r="BK60" s="14">
        <f>b2a!F296</f>
        <v>0.15290000000000001</v>
      </c>
      <c r="BL60" s="14">
        <f>b2a!H296</f>
        <v>1.4E-2</v>
      </c>
      <c r="BZ60" s="6">
        <f>b4a!$A267</f>
        <v>50</v>
      </c>
      <c r="CA60" s="14">
        <f>b4a!$B267</f>
        <v>0.67630000000000001</v>
      </c>
      <c r="CB60" s="14">
        <f>b4a!$D267</f>
        <v>0.1578</v>
      </c>
      <c r="CC60" s="14">
        <f>b4a!$F267</f>
        <v>0.1525</v>
      </c>
      <c r="CD60" s="14">
        <f>b4a!$H267</f>
        <v>1.34E-2</v>
      </c>
      <c r="CN60" s="6">
        <f>'b7'!$A269</f>
        <v>50</v>
      </c>
      <c r="CO60" s="14">
        <f>'b7'!$B269</f>
        <v>0.70050000000000001</v>
      </c>
      <c r="CP60" s="14">
        <f>'b7'!$D269</f>
        <v>0.13150000000000001</v>
      </c>
      <c r="CQ60" s="14">
        <f>'b7'!$F269</f>
        <v>0.14599999999999999</v>
      </c>
      <c r="CR60" s="14">
        <f>'b7'!$H269</f>
        <v>2.1999999999999999E-2</v>
      </c>
      <c r="EV60" s="7">
        <f>mgmt!$A272</f>
        <v>0.36659999999999998</v>
      </c>
      <c r="EW60" s="14">
        <f>mgmt!B272</f>
        <v>0.69399999999999995</v>
      </c>
      <c r="EX60" s="14">
        <f>1.96*mgmt!C272</f>
        <v>5.1547999999999997E-2</v>
      </c>
      <c r="EY60" s="14">
        <f>mgmt!D272</f>
        <v>0.14699999999999999</v>
      </c>
      <c r="EZ60" s="14">
        <f>1.96*mgmt!E272</f>
        <v>4.6648000000000002E-2</v>
      </c>
      <c r="FA60" s="14">
        <f>mgmt!F272</f>
        <v>0.1386</v>
      </c>
      <c r="FB60" s="14">
        <f>1.96*mgmt!G272</f>
        <v>3.1556000000000001E-2</v>
      </c>
      <c r="FC60" s="14">
        <f>mgmt!H272</f>
        <v>2.0400000000000001E-2</v>
      </c>
      <c r="FD60" s="14">
        <f>1.96*mgmt!I272</f>
        <v>1.5288E-2</v>
      </c>
    </row>
    <row r="61" spans="19:160" x14ac:dyDescent="0.25">
      <c r="S61" t="s">
        <v>283</v>
      </c>
      <c r="T61">
        <v>0.74</v>
      </c>
      <c r="U61">
        <v>0.1206</v>
      </c>
      <c r="V61">
        <v>0.1085</v>
      </c>
      <c r="W61">
        <v>3.1E-2</v>
      </c>
      <c r="BH61" s="6">
        <f>b2a!A297</f>
        <v>100</v>
      </c>
      <c r="BI61" s="14">
        <f>b2a!B297</f>
        <v>0.66949999999999998</v>
      </c>
      <c r="BJ61" s="14">
        <f>b2a!D297</f>
        <v>0.16500000000000001</v>
      </c>
      <c r="BK61" s="14">
        <f>b2a!F297</f>
        <v>0.1517</v>
      </c>
      <c r="BL61" s="14">
        <f>b2a!H297</f>
        <v>1.38E-2</v>
      </c>
      <c r="BZ61" s="6">
        <f>b4a!$A268</f>
        <v>51</v>
      </c>
      <c r="CA61" s="14">
        <f>b4a!$B268</f>
        <v>0.67689999999999995</v>
      </c>
      <c r="CB61" s="14">
        <f>b4a!$D268</f>
        <v>0.15740000000000001</v>
      </c>
      <c r="CC61" s="14">
        <f>b4a!$F268</f>
        <v>0.15240000000000001</v>
      </c>
      <c r="CD61" s="14">
        <f>b4a!$H268</f>
        <v>1.34E-2</v>
      </c>
      <c r="CN61" s="6">
        <f>'b7'!$A270</f>
        <v>51</v>
      </c>
      <c r="CO61" s="14">
        <f>'b7'!$B270</f>
        <v>0.70199999999999996</v>
      </c>
      <c r="CP61" s="14">
        <f>'b7'!$D270</f>
        <v>0.1303</v>
      </c>
      <c r="CQ61" s="14">
        <f>'b7'!$F270</f>
        <v>0.1454</v>
      </c>
      <c r="CR61" s="14">
        <f>'b7'!$H270</f>
        <v>2.23E-2</v>
      </c>
      <c r="EV61" s="7">
        <f>mgmt!$A273</f>
        <v>0.37319999999999998</v>
      </c>
      <c r="EW61" s="14">
        <f>mgmt!B273</f>
        <v>0.69259999999999999</v>
      </c>
      <c r="EX61" s="14">
        <f>1.96*mgmt!C273</f>
        <v>5.0568000000000002E-2</v>
      </c>
      <c r="EY61" s="14">
        <f>mgmt!D273</f>
        <v>0.14779999999999999</v>
      </c>
      <c r="EZ61" s="14">
        <f>1.96*mgmt!E273</f>
        <v>4.5668E-2</v>
      </c>
      <c r="FA61" s="14">
        <f>mgmt!F273</f>
        <v>0.1394</v>
      </c>
      <c r="FB61" s="14">
        <f>1.96*mgmt!G273</f>
        <v>3.1164000000000001E-2</v>
      </c>
      <c r="FC61" s="14">
        <f>mgmt!H273</f>
        <v>2.0199999999999999E-2</v>
      </c>
      <c r="FD61" s="14">
        <f>1.96*mgmt!I273</f>
        <v>1.47E-2</v>
      </c>
    </row>
    <row r="62" spans="19:160" x14ac:dyDescent="0.25">
      <c r="S62" t="s">
        <v>277</v>
      </c>
      <c r="T62">
        <v>0.54339999999999999</v>
      </c>
      <c r="U62">
        <v>0.29509999999999997</v>
      </c>
      <c r="V62">
        <v>0.10249999999999999</v>
      </c>
      <c r="W62">
        <v>5.91E-2</v>
      </c>
      <c r="BZ62" s="6">
        <f>b4a!$A269</f>
        <v>52</v>
      </c>
      <c r="CA62" s="14">
        <f>b4a!$B269</f>
        <v>0.6774</v>
      </c>
      <c r="CB62" s="14">
        <f>b4a!$D269</f>
        <v>0.15709999999999999</v>
      </c>
      <c r="CC62" s="14">
        <f>b4a!$F269</f>
        <v>0.15229999999999999</v>
      </c>
      <c r="CD62" s="14">
        <f>b4a!$H269</f>
        <v>1.3299999999999999E-2</v>
      </c>
      <c r="CN62" s="6">
        <f>'b7'!$A271</f>
        <v>52</v>
      </c>
      <c r="CO62" s="14">
        <f>'b7'!$B271</f>
        <v>0.7036</v>
      </c>
      <c r="CP62" s="14">
        <f>'b7'!$D271</f>
        <v>0.129</v>
      </c>
      <c r="CQ62" s="14">
        <f>'b7'!$F271</f>
        <v>0.1449</v>
      </c>
      <c r="CR62" s="14">
        <f>'b7'!$H271</f>
        <v>2.2499999999999999E-2</v>
      </c>
      <c r="EV62" s="7">
        <f>mgmt!$A274</f>
        <v>0.37340000000000001</v>
      </c>
      <c r="EW62" s="14">
        <f>mgmt!B274</f>
        <v>0.69259999999999999</v>
      </c>
      <c r="EX62" s="14">
        <f>1.96*mgmt!C274</f>
        <v>5.0568000000000002E-2</v>
      </c>
      <c r="EY62" s="14">
        <f>mgmt!D274</f>
        <v>0.14779999999999999</v>
      </c>
      <c r="EZ62" s="14">
        <f>1.96*mgmt!E274</f>
        <v>4.5668E-2</v>
      </c>
      <c r="FA62" s="14">
        <f>mgmt!F274</f>
        <v>0.13950000000000001</v>
      </c>
      <c r="FB62" s="14">
        <f>1.96*mgmt!G274</f>
        <v>3.1164000000000001E-2</v>
      </c>
      <c r="FC62" s="14">
        <f>mgmt!H274</f>
        <v>2.0199999999999999E-2</v>
      </c>
      <c r="FD62" s="14">
        <f>1.96*mgmt!I274</f>
        <v>1.47E-2</v>
      </c>
    </row>
    <row r="63" spans="19:160" x14ac:dyDescent="0.25">
      <c r="BZ63" s="6">
        <f>b4a!$A270</f>
        <v>53</v>
      </c>
      <c r="CA63" s="14">
        <f>b4a!$B270</f>
        <v>0.67789999999999995</v>
      </c>
      <c r="CB63" s="14">
        <f>b4a!$D270</f>
        <v>0.15670000000000001</v>
      </c>
      <c r="CC63" s="14">
        <f>b4a!$F270</f>
        <v>0.1522</v>
      </c>
      <c r="CD63" s="14">
        <f>b4a!$H270</f>
        <v>1.32E-2</v>
      </c>
      <c r="CN63" s="6">
        <f>'b7'!$A272</f>
        <v>53</v>
      </c>
      <c r="CO63" s="14">
        <f>'b7'!$B272</f>
        <v>0.70509999999999995</v>
      </c>
      <c r="CP63" s="14">
        <f>'b7'!$D272</f>
        <v>0.1278</v>
      </c>
      <c r="CQ63" s="14">
        <f>'b7'!$F272</f>
        <v>0.14430000000000001</v>
      </c>
      <c r="CR63" s="14">
        <f>'b7'!$H272</f>
        <v>2.2800000000000001E-2</v>
      </c>
      <c r="EV63" s="7">
        <f>mgmt!$A275</f>
        <v>0.37659999999999999</v>
      </c>
      <c r="EW63" s="14">
        <f>mgmt!B275</f>
        <v>0.69189999999999996</v>
      </c>
      <c r="EX63" s="14">
        <f>1.96*mgmt!C275</f>
        <v>5.0175999999999998E-2</v>
      </c>
      <c r="EY63" s="14">
        <f>mgmt!D275</f>
        <v>0.14810000000000001</v>
      </c>
      <c r="EZ63" s="14">
        <f>1.96*mgmt!E275</f>
        <v>4.5275999999999997E-2</v>
      </c>
      <c r="FA63" s="14">
        <f>mgmt!F275</f>
        <v>0.1399</v>
      </c>
      <c r="FB63" s="14">
        <f>1.96*mgmt!G275</f>
        <v>3.1164000000000001E-2</v>
      </c>
      <c r="FC63" s="14">
        <f>mgmt!H275</f>
        <v>2.01E-2</v>
      </c>
      <c r="FD63" s="14">
        <f>1.96*mgmt!I275</f>
        <v>1.4504E-2</v>
      </c>
    </row>
    <row r="64" spans="19:160" x14ac:dyDescent="0.25">
      <c r="BZ64" s="6">
        <f>b4a!$A271</f>
        <v>54</v>
      </c>
      <c r="CA64" s="14">
        <f>b4a!$B271</f>
        <v>0.67849999999999999</v>
      </c>
      <c r="CB64" s="14">
        <f>b4a!$D271</f>
        <v>0.15640000000000001</v>
      </c>
      <c r="CC64" s="14">
        <f>b4a!$F271</f>
        <v>0.15210000000000001</v>
      </c>
      <c r="CD64" s="14">
        <f>b4a!$H271</f>
        <v>1.3100000000000001E-2</v>
      </c>
      <c r="CN64" s="6">
        <f>'b7'!$A273</f>
        <v>54</v>
      </c>
      <c r="CO64" s="14">
        <f>'b7'!$B273</f>
        <v>0.70660000000000001</v>
      </c>
      <c r="CP64" s="14">
        <f>'b7'!$D273</f>
        <v>0.12659999999999999</v>
      </c>
      <c r="CQ64" s="14">
        <f>'b7'!$F273</f>
        <v>0.14380000000000001</v>
      </c>
      <c r="CR64" s="14">
        <f>'b7'!$H273</f>
        <v>2.3E-2</v>
      </c>
      <c r="EV64" s="7">
        <f>mgmt!$A276</f>
        <v>0.38</v>
      </c>
      <c r="EW64" s="14">
        <f>mgmt!B276</f>
        <v>0.69120000000000004</v>
      </c>
      <c r="EX64" s="14">
        <f>1.96*mgmt!C276</f>
        <v>4.9588E-2</v>
      </c>
      <c r="EY64" s="14">
        <f>mgmt!D276</f>
        <v>0.14849999999999999</v>
      </c>
      <c r="EZ64" s="14">
        <f>1.96*mgmt!E276</f>
        <v>4.4884E-2</v>
      </c>
      <c r="FA64" s="14">
        <f>mgmt!F276</f>
        <v>0.14030000000000001</v>
      </c>
      <c r="FB64" s="14">
        <f>1.96*mgmt!G276</f>
        <v>3.0968000000000002E-2</v>
      </c>
      <c r="FC64" s="14">
        <f>mgmt!H276</f>
        <v>0.02</v>
      </c>
      <c r="FD64" s="14">
        <f>1.96*mgmt!I276</f>
        <v>1.4308E-2</v>
      </c>
    </row>
    <row r="65" spans="78:160" x14ac:dyDescent="0.25">
      <c r="BZ65" s="6">
        <f>b4a!$A272</f>
        <v>55</v>
      </c>
      <c r="CA65" s="14">
        <f>b4a!$B272</f>
        <v>0.67900000000000005</v>
      </c>
      <c r="CB65" s="14">
        <f>b4a!$D272</f>
        <v>0.156</v>
      </c>
      <c r="CC65" s="14">
        <f>b4a!$F272</f>
        <v>0.152</v>
      </c>
      <c r="CD65" s="14">
        <f>b4a!$H272</f>
        <v>1.2999999999999999E-2</v>
      </c>
      <c r="CN65" s="6">
        <f>'b7'!$A274</f>
        <v>55</v>
      </c>
      <c r="CO65" s="14">
        <f>'b7'!$B274</f>
        <v>0.70809999999999995</v>
      </c>
      <c r="CP65" s="14">
        <f>'b7'!$D274</f>
        <v>0.12540000000000001</v>
      </c>
      <c r="CQ65" s="14">
        <f>'b7'!$F274</f>
        <v>0.14319999999999999</v>
      </c>
      <c r="CR65" s="14">
        <f>'b7'!$H274</f>
        <v>2.3300000000000001E-2</v>
      </c>
      <c r="EV65" s="7">
        <f>mgmt!$A277</f>
        <v>0.38319999999999999</v>
      </c>
      <c r="EW65" s="14">
        <f>mgmt!B277</f>
        <v>0.69059999999999999</v>
      </c>
      <c r="EX65" s="14">
        <f>1.96*mgmt!C277</f>
        <v>4.9196000000000004E-2</v>
      </c>
      <c r="EY65" s="14">
        <f>mgmt!D277</f>
        <v>0.1489</v>
      </c>
      <c r="EZ65" s="14">
        <f>1.96*mgmt!E277</f>
        <v>4.4492000000000004E-2</v>
      </c>
      <c r="FA65" s="14">
        <f>mgmt!F277</f>
        <v>0.14069999999999999</v>
      </c>
      <c r="FB65" s="14">
        <f>1.96*mgmt!G277</f>
        <v>3.0771999999999997E-2</v>
      </c>
      <c r="FC65" s="14">
        <f>mgmt!H277</f>
        <v>1.9900000000000001E-2</v>
      </c>
      <c r="FD65" s="14">
        <f>1.96*mgmt!I277</f>
        <v>1.4112E-2</v>
      </c>
    </row>
    <row r="66" spans="78:160" x14ac:dyDescent="0.25">
      <c r="BZ66" s="6">
        <f>b4a!$A273</f>
        <v>56</v>
      </c>
      <c r="CA66" s="14">
        <f>b4a!$B273</f>
        <v>0.67949999999999999</v>
      </c>
      <c r="CB66" s="14">
        <f>b4a!$D273</f>
        <v>0.15570000000000001</v>
      </c>
      <c r="CC66" s="14">
        <f>b4a!$F273</f>
        <v>0.15179999999999999</v>
      </c>
      <c r="CD66" s="14">
        <f>b4a!$H273</f>
        <v>1.2999999999999999E-2</v>
      </c>
      <c r="CN66" s="6">
        <f>'b7'!$A275</f>
        <v>56</v>
      </c>
      <c r="CO66" s="14">
        <f>'b7'!$B275</f>
        <v>0.70950000000000002</v>
      </c>
      <c r="CP66" s="14">
        <f>'b7'!$D275</f>
        <v>0.1242</v>
      </c>
      <c r="CQ66" s="14">
        <f>'b7'!$F275</f>
        <v>0.14269999999999999</v>
      </c>
      <c r="CR66" s="14">
        <f>'b7'!$H275</f>
        <v>2.35E-2</v>
      </c>
      <c r="EV66" s="7">
        <f>mgmt!$A278</f>
        <v>0.38340000000000002</v>
      </c>
      <c r="EW66" s="14">
        <f>mgmt!B278</f>
        <v>0.6905</v>
      </c>
      <c r="EX66" s="14">
        <f>1.96*mgmt!C278</f>
        <v>4.9196000000000004E-2</v>
      </c>
      <c r="EY66" s="14">
        <f>mgmt!D278</f>
        <v>0.1489</v>
      </c>
      <c r="EZ66" s="14">
        <f>1.96*mgmt!E278</f>
        <v>4.4492000000000004E-2</v>
      </c>
      <c r="FA66" s="14">
        <f>mgmt!F278</f>
        <v>0.14069999999999999</v>
      </c>
      <c r="FB66" s="14">
        <f>1.96*mgmt!G278</f>
        <v>3.0771999999999997E-2</v>
      </c>
      <c r="FC66" s="14">
        <f>mgmt!H278</f>
        <v>1.9900000000000001E-2</v>
      </c>
      <c r="FD66" s="14">
        <f>1.96*mgmt!I278</f>
        <v>1.3916000000000001E-2</v>
      </c>
    </row>
    <row r="67" spans="78:160" x14ac:dyDescent="0.25">
      <c r="BZ67" s="6">
        <f>b4a!$A274</f>
        <v>57</v>
      </c>
      <c r="CA67" s="14">
        <f>b4a!$B274</f>
        <v>0.68010000000000004</v>
      </c>
      <c r="CB67" s="14">
        <f>b4a!$D274</f>
        <v>0.15529999999999999</v>
      </c>
      <c r="CC67" s="14">
        <f>b4a!$F274</f>
        <v>0.1517</v>
      </c>
      <c r="CD67" s="14">
        <f>b4a!$H274</f>
        <v>1.29E-2</v>
      </c>
      <c r="CN67" s="6">
        <f>'b7'!$A276</f>
        <v>57</v>
      </c>
      <c r="CO67" s="14">
        <f>'b7'!$B276</f>
        <v>0.71099999999999997</v>
      </c>
      <c r="CP67" s="14">
        <f>'b7'!$D276</f>
        <v>0.1231</v>
      </c>
      <c r="CQ67" s="14">
        <f>'b7'!$F276</f>
        <v>0.1421</v>
      </c>
      <c r="CR67" s="14">
        <f>'b7'!$H276</f>
        <v>2.3800000000000002E-2</v>
      </c>
      <c r="EV67" s="7">
        <f>mgmt!$A279</f>
        <v>0.3866</v>
      </c>
      <c r="EW67" s="14">
        <f>mgmt!B279</f>
        <v>0.68979999999999997</v>
      </c>
      <c r="EX67" s="14">
        <f>1.96*mgmt!C279</f>
        <v>4.8803999999999993E-2</v>
      </c>
      <c r="EY67" s="14">
        <f>mgmt!D279</f>
        <v>0.14929999999999999</v>
      </c>
      <c r="EZ67" s="14">
        <f>1.96*mgmt!E279</f>
        <v>4.41E-2</v>
      </c>
      <c r="FA67" s="14">
        <f>mgmt!F279</f>
        <v>0.1411</v>
      </c>
      <c r="FB67" s="14">
        <f>1.96*mgmt!G279</f>
        <v>3.0575999999999999E-2</v>
      </c>
      <c r="FC67" s="14">
        <f>mgmt!H279</f>
        <v>1.9800000000000002E-2</v>
      </c>
      <c r="FD67" s="14">
        <f>1.96*mgmt!I279</f>
        <v>1.372E-2</v>
      </c>
    </row>
    <row r="68" spans="78:160" x14ac:dyDescent="0.25">
      <c r="BZ68" s="6">
        <f>b4a!$A275</f>
        <v>58</v>
      </c>
      <c r="CA68" s="14">
        <f>b4a!$B275</f>
        <v>0.68059999999999998</v>
      </c>
      <c r="CB68" s="14">
        <f>b4a!$D275</f>
        <v>0.155</v>
      </c>
      <c r="CC68" s="14">
        <f>b4a!$F275</f>
        <v>0.15160000000000001</v>
      </c>
      <c r="CD68" s="14">
        <f>b4a!$H275</f>
        <v>1.2800000000000001E-2</v>
      </c>
      <c r="CN68" s="6">
        <f>'b7'!$A277</f>
        <v>58</v>
      </c>
      <c r="CO68" s="14">
        <f>'b7'!$B277</f>
        <v>0.71250000000000002</v>
      </c>
      <c r="CP68" s="14">
        <f>'b7'!$D277</f>
        <v>0.12189999999999999</v>
      </c>
      <c r="CQ68" s="14">
        <f>'b7'!$F277</f>
        <v>0.1416</v>
      </c>
      <c r="CR68" s="14">
        <f>'b7'!$H277</f>
        <v>2.41E-2</v>
      </c>
      <c r="EV68" s="7">
        <f>mgmt!$A280</f>
        <v>0.38679999999999998</v>
      </c>
      <c r="EW68" s="14">
        <f>mgmt!B280</f>
        <v>0.68979999999999997</v>
      </c>
      <c r="EX68" s="14">
        <f>1.96*mgmt!C280</f>
        <v>4.8803999999999993E-2</v>
      </c>
      <c r="EY68" s="14">
        <f>mgmt!D280</f>
        <v>0.14929999999999999</v>
      </c>
      <c r="EZ68" s="14">
        <f>1.96*mgmt!E280</f>
        <v>4.41E-2</v>
      </c>
      <c r="FA68" s="14">
        <f>mgmt!F280</f>
        <v>0.1411</v>
      </c>
      <c r="FB68" s="14">
        <f>1.96*mgmt!G280</f>
        <v>3.0575999999999999E-2</v>
      </c>
      <c r="FC68" s="14">
        <f>mgmt!H280</f>
        <v>1.9800000000000002E-2</v>
      </c>
      <c r="FD68" s="14">
        <f>1.96*mgmt!I280</f>
        <v>1.372E-2</v>
      </c>
    </row>
    <row r="69" spans="78:160" x14ac:dyDescent="0.25">
      <c r="BZ69" s="6">
        <f>b4a!$A276</f>
        <v>60</v>
      </c>
      <c r="CA69" s="14">
        <f>b4a!$B276</f>
        <v>0.68159999999999998</v>
      </c>
      <c r="CB69" s="14">
        <f>b4a!$D276</f>
        <v>0.15429999999999999</v>
      </c>
      <c r="CC69" s="14">
        <f>b4a!$F276</f>
        <v>0.15140000000000001</v>
      </c>
      <c r="CD69" s="14">
        <f>b4a!$H276</f>
        <v>1.26E-2</v>
      </c>
      <c r="CN69" s="6">
        <f>'b7'!$A278</f>
        <v>60</v>
      </c>
      <c r="CO69" s="14">
        <f>'b7'!$B278</f>
        <v>0.71530000000000005</v>
      </c>
      <c r="CP69" s="14">
        <f>'b7'!$D278</f>
        <v>0.1196</v>
      </c>
      <c r="CQ69" s="14">
        <f>'b7'!$F278</f>
        <v>0.14050000000000001</v>
      </c>
      <c r="CR69" s="14">
        <f>'b7'!$H278</f>
        <v>2.46E-2</v>
      </c>
      <c r="EV69" s="7">
        <f>mgmt!$A281</f>
        <v>0.38979999999999998</v>
      </c>
      <c r="EW69" s="14">
        <f>mgmt!B281</f>
        <v>0.68920000000000003</v>
      </c>
      <c r="EX69" s="14">
        <f>1.96*mgmt!C281</f>
        <v>4.8216000000000002E-2</v>
      </c>
      <c r="EY69" s="14">
        <f>mgmt!D281</f>
        <v>0.14960000000000001</v>
      </c>
      <c r="EZ69" s="14">
        <f>1.96*mgmt!E281</f>
        <v>4.3707999999999997E-2</v>
      </c>
      <c r="FA69" s="14">
        <f>mgmt!F281</f>
        <v>0.14149999999999999</v>
      </c>
      <c r="FB69" s="14">
        <f>1.96*mgmt!G281</f>
        <v>3.0380000000000001E-2</v>
      </c>
      <c r="FC69" s="14">
        <f>mgmt!H281</f>
        <v>1.9699999999999999E-2</v>
      </c>
      <c r="FD69" s="14">
        <f>1.96*mgmt!I281</f>
        <v>1.3524E-2</v>
      </c>
    </row>
    <row r="70" spans="78:160" x14ac:dyDescent="0.25">
      <c r="BZ70" s="6">
        <f>b4a!$A277</f>
        <v>61</v>
      </c>
      <c r="CA70" s="14">
        <f>b4a!$B277</f>
        <v>0.68220000000000003</v>
      </c>
      <c r="CB70" s="14">
        <f>b4a!$D277</f>
        <v>0.15390000000000001</v>
      </c>
      <c r="CC70" s="14">
        <f>b4a!$F277</f>
        <v>0.15129999999999999</v>
      </c>
      <c r="CD70" s="14">
        <f>b4a!$H277</f>
        <v>1.26E-2</v>
      </c>
      <c r="CN70" s="6">
        <f>'b7'!$A279</f>
        <v>61</v>
      </c>
      <c r="CO70" s="14">
        <f>'b7'!$B279</f>
        <v>0.71679999999999999</v>
      </c>
      <c r="CP70" s="14">
        <f>'b7'!$D279</f>
        <v>0.11849999999999999</v>
      </c>
      <c r="CQ70" s="14">
        <f>'b7'!$F279</f>
        <v>0.1399</v>
      </c>
      <c r="CR70" s="14">
        <f>'b7'!$H279</f>
        <v>2.4899999999999999E-2</v>
      </c>
      <c r="EV70" s="7">
        <f>mgmt!$A282</f>
        <v>0.39</v>
      </c>
      <c r="EW70" s="14">
        <f>mgmt!B282</f>
        <v>0.68910000000000005</v>
      </c>
      <c r="EX70" s="14">
        <f>1.96*mgmt!C282</f>
        <v>4.8216000000000002E-2</v>
      </c>
      <c r="EY70" s="14">
        <f>mgmt!D282</f>
        <v>0.1497</v>
      </c>
      <c r="EZ70" s="14">
        <f>1.96*mgmt!E282</f>
        <v>4.3707999999999997E-2</v>
      </c>
      <c r="FA70" s="14">
        <f>mgmt!F282</f>
        <v>0.14149999999999999</v>
      </c>
      <c r="FB70" s="14">
        <f>1.96*mgmt!G282</f>
        <v>3.0380000000000001E-2</v>
      </c>
      <c r="FC70" s="14">
        <f>mgmt!H282</f>
        <v>1.9699999999999999E-2</v>
      </c>
      <c r="FD70" s="14">
        <f>1.96*mgmt!I282</f>
        <v>1.3524E-2</v>
      </c>
    </row>
    <row r="71" spans="78:160" x14ac:dyDescent="0.25">
      <c r="BZ71" s="6">
        <f>b4a!$A278</f>
        <v>62</v>
      </c>
      <c r="CA71" s="14">
        <f>b4a!$B278</f>
        <v>0.68269999999999997</v>
      </c>
      <c r="CB71" s="14">
        <f>b4a!$D278</f>
        <v>0.15359999999999999</v>
      </c>
      <c r="CC71" s="14">
        <f>b4a!$F278</f>
        <v>0.1512</v>
      </c>
      <c r="CD71" s="14">
        <f>b4a!$H278</f>
        <v>1.2500000000000001E-2</v>
      </c>
      <c r="CN71" s="6">
        <f>'b7'!$A280</f>
        <v>62</v>
      </c>
      <c r="CO71" s="14">
        <f>'b7'!$B280</f>
        <v>0.71819999999999995</v>
      </c>
      <c r="CP71" s="14">
        <f>'b7'!$D280</f>
        <v>0.1173</v>
      </c>
      <c r="CQ71" s="14">
        <f>'b7'!$F280</f>
        <v>0.1394</v>
      </c>
      <c r="CR71" s="14">
        <f>'b7'!$H280</f>
        <v>2.5100000000000001E-2</v>
      </c>
      <c r="EV71" s="7">
        <f>mgmt!$A283</f>
        <v>0.39319999999999999</v>
      </c>
      <c r="EW71" s="14">
        <f>mgmt!B283</f>
        <v>0.6885</v>
      </c>
      <c r="EX71" s="14">
        <f>1.96*mgmt!C283</f>
        <v>4.7824000000000005E-2</v>
      </c>
      <c r="EY71" s="14">
        <f>mgmt!D283</f>
        <v>0.15</v>
      </c>
      <c r="EZ71" s="14">
        <f>1.96*mgmt!E283</f>
        <v>4.3119999999999999E-2</v>
      </c>
      <c r="FA71" s="14">
        <f>mgmt!F283</f>
        <v>0.14199999999999999</v>
      </c>
      <c r="FB71" s="14">
        <f>1.96*mgmt!G283</f>
        <v>3.0380000000000001E-2</v>
      </c>
      <c r="FC71" s="14">
        <f>mgmt!H283</f>
        <v>1.9599999999999999E-2</v>
      </c>
      <c r="FD71" s="14">
        <f>1.96*mgmt!I283</f>
        <v>1.3328E-2</v>
      </c>
    </row>
    <row r="72" spans="78:160" x14ac:dyDescent="0.25">
      <c r="BZ72" s="6">
        <f>b4a!$A279</f>
        <v>63</v>
      </c>
      <c r="CA72" s="14">
        <f>b4a!$B279</f>
        <v>0.68320000000000003</v>
      </c>
      <c r="CB72" s="14">
        <f>b4a!$D279</f>
        <v>0.15329999999999999</v>
      </c>
      <c r="CC72" s="14">
        <f>b4a!$F279</f>
        <v>0.15110000000000001</v>
      </c>
      <c r="CD72" s="14">
        <f>b4a!$H279</f>
        <v>1.24E-2</v>
      </c>
      <c r="CN72" s="6">
        <f>'b7'!$A281</f>
        <v>64</v>
      </c>
      <c r="CO72" s="14">
        <f>'b7'!$B281</f>
        <v>0.72099999999999997</v>
      </c>
      <c r="CP72" s="14">
        <f>'b7'!$D281</f>
        <v>0.11509999999999999</v>
      </c>
      <c r="CQ72" s="14">
        <f>'b7'!$F281</f>
        <v>0.13830000000000001</v>
      </c>
      <c r="CR72" s="14">
        <f>'b7'!$H281</f>
        <v>2.5700000000000001E-2</v>
      </c>
      <c r="EV72" s="7">
        <f>mgmt!$A284</f>
        <v>0.39340000000000003</v>
      </c>
      <c r="EW72" s="14">
        <f>mgmt!B284</f>
        <v>0.68840000000000001</v>
      </c>
      <c r="EX72" s="14">
        <f>1.96*mgmt!C284</f>
        <v>4.7824000000000005E-2</v>
      </c>
      <c r="EY72" s="14">
        <f>mgmt!D284</f>
        <v>0.15</v>
      </c>
      <c r="EZ72" s="14">
        <f>1.96*mgmt!E284</f>
        <v>4.3119999999999999E-2</v>
      </c>
      <c r="FA72" s="14">
        <f>mgmt!F284</f>
        <v>0.14199999999999999</v>
      </c>
      <c r="FB72" s="14">
        <f>1.96*mgmt!G284</f>
        <v>3.0380000000000001E-2</v>
      </c>
      <c r="FC72" s="14">
        <f>mgmt!H284</f>
        <v>1.9599999999999999E-2</v>
      </c>
      <c r="FD72" s="14">
        <f>1.96*mgmt!I284</f>
        <v>1.3328E-2</v>
      </c>
    </row>
    <row r="73" spans="78:160" x14ac:dyDescent="0.25">
      <c r="BZ73" s="6">
        <f>b4a!$A280</f>
        <v>64</v>
      </c>
      <c r="CA73" s="14">
        <f>b4a!$B280</f>
        <v>0.68379999999999996</v>
      </c>
      <c r="CB73" s="14">
        <f>b4a!$D280</f>
        <v>0.15290000000000001</v>
      </c>
      <c r="CC73" s="14">
        <f>b4a!$F280</f>
        <v>0.151</v>
      </c>
      <c r="CD73" s="14">
        <f>b4a!$H280</f>
        <v>1.23E-2</v>
      </c>
      <c r="CN73" s="6">
        <f>'b7'!$A282</f>
        <v>65</v>
      </c>
      <c r="CO73" s="14">
        <f>'b7'!$B282</f>
        <v>0.72240000000000004</v>
      </c>
      <c r="CP73" s="14">
        <f>'b7'!$D282</f>
        <v>0.114</v>
      </c>
      <c r="CQ73" s="14">
        <f>'b7'!$F282</f>
        <v>0.13769999999999999</v>
      </c>
      <c r="CR73" s="14">
        <f>'b7'!$H282</f>
        <v>2.5899999999999999E-2</v>
      </c>
      <c r="EV73" s="7">
        <f>mgmt!$A285</f>
        <v>0.39660000000000001</v>
      </c>
      <c r="EW73" s="14">
        <f>mgmt!B285</f>
        <v>0.68779999999999997</v>
      </c>
      <c r="EX73" s="14">
        <f>1.96*mgmt!C285</f>
        <v>4.7431999999999995E-2</v>
      </c>
      <c r="EY73" s="14">
        <f>mgmt!D285</f>
        <v>0.15040000000000001</v>
      </c>
      <c r="EZ73" s="14">
        <f>1.96*mgmt!E285</f>
        <v>4.2728000000000002E-2</v>
      </c>
      <c r="FA73" s="14">
        <f>mgmt!F285</f>
        <v>0.1424</v>
      </c>
      <c r="FB73" s="14">
        <f>1.96*mgmt!G285</f>
        <v>3.0183999999999999E-2</v>
      </c>
      <c r="FC73" s="14">
        <f>mgmt!H285</f>
        <v>1.95E-2</v>
      </c>
      <c r="FD73" s="14">
        <f>1.96*mgmt!I285</f>
        <v>1.3132E-2</v>
      </c>
    </row>
    <row r="74" spans="78:160" x14ac:dyDescent="0.25">
      <c r="BZ74" s="6">
        <f>b4a!$A281</f>
        <v>65</v>
      </c>
      <c r="CA74" s="14">
        <f>b4a!$B281</f>
        <v>0.68430000000000002</v>
      </c>
      <c r="CB74" s="14">
        <f>b4a!$D281</f>
        <v>0.15260000000000001</v>
      </c>
      <c r="CC74" s="14">
        <f>b4a!$F281</f>
        <v>0.15090000000000001</v>
      </c>
      <c r="CD74" s="14">
        <f>b4a!$H281</f>
        <v>1.23E-2</v>
      </c>
      <c r="CN74" s="6">
        <f>'b7'!$A283</f>
        <v>67</v>
      </c>
      <c r="CO74" s="14">
        <f>'b7'!$B283</f>
        <v>0.72509999999999997</v>
      </c>
      <c r="CP74" s="14">
        <f>'b7'!$D283</f>
        <v>0.1118</v>
      </c>
      <c r="CQ74" s="14">
        <f>'b7'!$F283</f>
        <v>0.1366</v>
      </c>
      <c r="CR74" s="14">
        <f>'b7'!$H283</f>
        <v>2.6499999999999999E-2</v>
      </c>
      <c r="EV74" s="7">
        <f>mgmt!$A286</f>
        <v>0.39679999999999999</v>
      </c>
      <c r="EW74" s="14">
        <f>mgmt!B286</f>
        <v>0.68769999999999998</v>
      </c>
      <c r="EX74" s="14">
        <f>1.96*mgmt!C286</f>
        <v>4.7431999999999995E-2</v>
      </c>
      <c r="EY74" s="14">
        <f>mgmt!D286</f>
        <v>0.15040000000000001</v>
      </c>
      <c r="EZ74" s="14">
        <f>1.96*mgmt!E286</f>
        <v>4.2728000000000002E-2</v>
      </c>
      <c r="FA74" s="14">
        <f>mgmt!F286</f>
        <v>0.1424</v>
      </c>
      <c r="FB74" s="14">
        <f>1.96*mgmt!G286</f>
        <v>3.0183999999999999E-2</v>
      </c>
      <c r="FC74" s="14">
        <f>mgmt!H286</f>
        <v>1.95E-2</v>
      </c>
      <c r="FD74" s="14">
        <f>1.96*mgmt!I286</f>
        <v>1.3132E-2</v>
      </c>
    </row>
    <row r="75" spans="78:160" x14ac:dyDescent="0.25">
      <c r="BZ75" s="6">
        <f>b4a!$A282</f>
        <v>66</v>
      </c>
      <c r="CA75" s="14">
        <f>b4a!$B282</f>
        <v>0.68479999999999996</v>
      </c>
      <c r="CB75" s="14">
        <f>b4a!$D282</f>
        <v>0.1522</v>
      </c>
      <c r="CC75" s="14">
        <f>b4a!$F282</f>
        <v>0.15079999999999999</v>
      </c>
      <c r="CD75" s="14">
        <f>b4a!$H282</f>
        <v>1.2200000000000001E-2</v>
      </c>
      <c r="CN75" s="6">
        <f>'b7'!$A284</f>
        <v>69</v>
      </c>
      <c r="CO75" s="14">
        <f>'b7'!$B284</f>
        <v>0.7278</v>
      </c>
      <c r="CP75" s="14">
        <f>'b7'!$D284</f>
        <v>0.1096</v>
      </c>
      <c r="CQ75" s="14">
        <f>'b7'!$F284</f>
        <v>0.13550000000000001</v>
      </c>
      <c r="CR75" s="14">
        <f>'b7'!$H284</f>
        <v>2.7099999999999999E-2</v>
      </c>
      <c r="EV75" s="7">
        <f>mgmt!$A287</f>
        <v>0.39979999999999999</v>
      </c>
      <c r="EW75" s="14">
        <f>mgmt!B287</f>
        <v>0.68710000000000004</v>
      </c>
      <c r="EX75" s="14">
        <f>1.96*mgmt!C287</f>
        <v>4.7039999999999998E-2</v>
      </c>
      <c r="EY75" s="14">
        <f>mgmt!D287</f>
        <v>0.15079999999999999</v>
      </c>
      <c r="EZ75" s="14">
        <f>1.96*mgmt!E287</f>
        <v>4.2335999999999999E-2</v>
      </c>
      <c r="FA75" s="14">
        <f>mgmt!F287</f>
        <v>0.14280000000000001</v>
      </c>
      <c r="FB75" s="14">
        <f>1.96*mgmt!G287</f>
        <v>2.9987999999999997E-2</v>
      </c>
      <c r="FC75" s="14">
        <f>mgmt!H287</f>
        <v>1.9400000000000001E-2</v>
      </c>
      <c r="FD75" s="14">
        <f>1.96*mgmt!I287</f>
        <v>1.2936E-2</v>
      </c>
    </row>
    <row r="76" spans="78:160" x14ac:dyDescent="0.25">
      <c r="BZ76" s="6">
        <f>b4a!$A283</f>
        <v>67</v>
      </c>
      <c r="CA76" s="14">
        <f>b4a!$B283</f>
        <v>0.68530000000000002</v>
      </c>
      <c r="CB76" s="14">
        <f>b4a!$D283</f>
        <v>0.15190000000000001</v>
      </c>
      <c r="CC76" s="14">
        <f>b4a!$F283</f>
        <v>0.1507</v>
      </c>
      <c r="CD76" s="14">
        <f>b4a!$H283</f>
        <v>1.21E-2</v>
      </c>
      <c r="CN76" s="6"/>
      <c r="CO76" s="14"/>
      <c r="CP76" s="14"/>
      <c r="CQ76" s="14"/>
      <c r="CR76" s="14"/>
      <c r="EV76" s="7">
        <f>mgmt!$A288</f>
        <v>0.4</v>
      </c>
      <c r="EW76" s="14">
        <f>mgmt!B288</f>
        <v>0.68700000000000006</v>
      </c>
      <c r="EX76" s="14">
        <f>1.96*mgmt!C288</f>
        <v>4.7039999999999998E-2</v>
      </c>
      <c r="EY76" s="14">
        <f>mgmt!D288</f>
        <v>0.15079999999999999</v>
      </c>
      <c r="EZ76" s="14">
        <f>1.96*mgmt!E288</f>
        <v>4.2335999999999999E-2</v>
      </c>
      <c r="FA76" s="14">
        <f>mgmt!F288</f>
        <v>0.14280000000000001</v>
      </c>
      <c r="FB76" s="14">
        <f>1.96*mgmt!G288</f>
        <v>2.9987999999999997E-2</v>
      </c>
      <c r="FC76" s="14">
        <f>mgmt!H288</f>
        <v>1.9400000000000001E-2</v>
      </c>
      <c r="FD76" s="14">
        <f>1.96*mgmt!I288</f>
        <v>1.2936E-2</v>
      </c>
    </row>
    <row r="77" spans="78:160" x14ac:dyDescent="0.25">
      <c r="BZ77" s="6">
        <f>b4a!$A284</f>
        <v>68</v>
      </c>
      <c r="CA77" s="14">
        <f>b4a!$B284</f>
        <v>0.68589999999999995</v>
      </c>
      <c r="CB77" s="14">
        <f>b4a!$D284</f>
        <v>0.1515</v>
      </c>
      <c r="CC77" s="14">
        <f>b4a!$F284</f>
        <v>0.15049999999999999</v>
      </c>
      <c r="CD77" s="14">
        <f>b4a!$H284</f>
        <v>1.21E-2</v>
      </c>
      <c r="CN77" s="6"/>
      <c r="CO77" s="14"/>
      <c r="CP77" s="14"/>
      <c r="CQ77" s="14"/>
      <c r="CR77" s="14"/>
      <c r="EV77" s="7">
        <f>mgmt!$A289</f>
        <v>0.4002</v>
      </c>
      <c r="EW77" s="14">
        <f>mgmt!B289</f>
        <v>0.68700000000000006</v>
      </c>
      <c r="EX77" s="14">
        <f>1.96*mgmt!C289</f>
        <v>4.7039999999999998E-2</v>
      </c>
      <c r="EY77" s="14">
        <f>mgmt!D289</f>
        <v>0.15079999999999999</v>
      </c>
      <c r="EZ77" s="14">
        <f>1.96*mgmt!E289</f>
        <v>4.2335999999999999E-2</v>
      </c>
      <c r="FA77" s="14">
        <f>mgmt!F289</f>
        <v>0.14280000000000001</v>
      </c>
      <c r="FB77" s="14">
        <f>1.96*mgmt!G289</f>
        <v>2.9987999999999997E-2</v>
      </c>
      <c r="FC77" s="14">
        <f>mgmt!H289</f>
        <v>1.9400000000000001E-2</v>
      </c>
      <c r="FD77" s="14">
        <f>1.96*mgmt!I289</f>
        <v>1.274E-2</v>
      </c>
    </row>
    <row r="78" spans="78:160" x14ac:dyDescent="0.25">
      <c r="BZ78" s="6">
        <f>b4a!$A285</f>
        <v>70</v>
      </c>
      <c r="CA78" s="14">
        <f>b4a!$B285</f>
        <v>0.68689999999999996</v>
      </c>
      <c r="CB78" s="14">
        <f>b4a!$D285</f>
        <v>0.15090000000000001</v>
      </c>
      <c r="CC78" s="14">
        <f>b4a!$F285</f>
        <v>0.15029999999999999</v>
      </c>
      <c r="CD78" s="14">
        <f>b4a!$H285</f>
        <v>1.1900000000000001E-2</v>
      </c>
      <c r="CN78" s="6"/>
      <c r="CO78" s="14"/>
      <c r="CP78" s="14"/>
      <c r="CQ78" s="14"/>
      <c r="CR78" s="14"/>
      <c r="EV78" s="7">
        <f>mgmt!$A290</f>
        <v>0.41</v>
      </c>
      <c r="EW78" s="14">
        <f>mgmt!B290</f>
        <v>0.68489999999999995</v>
      </c>
      <c r="EX78" s="14">
        <f>1.96*mgmt!C290</f>
        <v>4.5668E-2</v>
      </c>
      <c r="EY78" s="14">
        <f>mgmt!D290</f>
        <v>0.15190000000000001</v>
      </c>
      <c r="EZ78" s="14">
        <f>1.96*mgmt!E290</f>
        <v>4.1160000000000002E-2</v>
      </c>
      <c r="FA78" s="14">
        <f>mgmt!F290</f>
        <v>0.14410000000000001</v>
      </c>
      <c r="FB78" s="14">
        <f>1.96*mgmt!G290</f>
        <v>2.9596000000000001E-2</v>
      </c>
      <c r="FC78" s="14">
        <f>mgmt!H290</f>
        <v>1.9099999999999999E-2</v>
      </c>
      <c r="FD78" s="14">
        <f>1.96*mgmt!I290</f>
        <v>1.2152E-2</v>
      </c>
    </row>
    <row r="79" spans="78:160" x14ac:dyDescent="0.25">
      <c r="BZ79" s="6">
        <f>b4a!$A286</f>
        <v>71</v>
      </c>
      <c r="CA79" s="14">
        <f>b4a!$B286</f>
        <v>0.68740000000000001</v>
      </c>
      <c r="CB79" s="14">
        <f>b4a!$D286</f>
        <v>0.15049999999999999</v>
      </c>
      <c r="CC79" s="14">
        <f>b4a!$F286</f>
        <v>0.1502</v>
      </c>
      <c r="CD79" s="14">
        <f>b4a!$H286</f>
        <v>1.18E-2</v>
      </c>
      <c r="CN79" s="6"/>
      <c r="CO79" s="14"/>
      <c r="CP79" s="14"/>
      <c r="CQ79" s="14"/>
      <c r="CR79" s="14"/>
      <c r="EV79" s="7">
        <f>mgmt!$A291</f>
        <v>0.41320000000000001</v>
      </c>
      <c r="EW79" s="14">
        <f>mgmt!B291</f>
        <v>0.68420000000000003</v>
      </c>
      <c r="EX79" s="14">
        <f>1.96*mgmt!C291</f>
        <v>4.5275999999999997E-2</v>
      </c>
      <c r="EY79" s="14">
        <f>mgmt!D291</f>
        <v>0.15229999999999999</v>
      </c>
      <c r="EZ79" s="14">
        <f>1.96*mgmt!E291</f>
        <v>4.0767999999999999E-2</v>
      </c>
      <c r="FA79" s="14">
        <f>mgmt!F291</f>
        <v>0.14449999999999999</v>
      </c>
      <c r="FB79" s="14">
        <f>1.96*mgmt!G291</f>
        <v>2.9399999999999999E-2</v>
      </c>
      <c r="FC79" s="14">
        <f>mgmt!H291</f>
        <v>1.9E-2</v>
      </c>
      <c r="FD79" s="14">
        <f>1.96*mgmt!I291</f>
        <v>1.1956000000000001E-2</v>
      </c>
    </row>
    <row r="80" spans="78:160" x14ac:dyDescent="0.25">
      <c r="BZ80" s="6">
        <f>b4a!$A287</f>
        <v>72</v>
      </c>
      <c r="CA80" s="14">
        <f>b4a!$B287</f>
        <v>0.68789999999999996</v>
      </c>
      <c r="CB80" s="14">
        <f>b4a!$D287</f>
        <v>0.1502</v>
      </c>
      <c r="CC80" s="14">
        <f>b4a!$F287</f>
        <v>0.15010000000000001</v>
      </c>
      <c r="CD80" s="14">
        <f>b4a!$H287</f>
        <v>1.18E-2</v>
      </c>
      <c r="CN80" s="6"/>
      <c r="CO80" s="14"/>
      <c r="CP80" s="14"/>
      <c r="CQ80" s="14"/>
      <c r="CR80" s="14"/>
      <c r="EV80" s="7">
        <f>mgmt!$A292</f>
        <v>0.41339999999999999</v>
      </c>
      <c r="EW80" s="14">
        <f>mgmt!B292</f>
        <v>0.68420000000000003</v>
      </c>
      <c r="EX80" s="14">
        <f>1.96*mgmt!C292</f>
        <v>4.5275999999999997E-2</v>
      </c>
      <c r="EY80" s="14">
        <f>mgmt!D292</f>
        <v>0.15229999999999999</v>
      </c>
      <c r="EZ80" s="14">
        <f>1.96*mgmt!E292</f>
        <v>4.0767999999999999E-2</v>
      </c>
      <c r="FA80" s="14">
        <f>mgmt!F292</f>
        <v>0.14449999999999999</v>
      </c>
      <c r="FB80" s="14">
        <f>1.96*mgmt!G292</f>
        <v>2.9399999999999999E-2</v>
      </c>
      <c r="FC80" s="14">
        <f>mgmt!H292</f>
        <v>1.9E-2</v>
      </c>
      <c r="FD80" s="14">
        <f>1.96*mgmt!I292</f>
        <v>1.1956000000000001E-2</v>
      </c>
    </row>
    <row r="81" spans="78:160" x14ac:dyDescent="0.25">
      <c r="BZ81" s="6">
        <f>b4a!$A288</f>
        <v>73</v>
      </c>
      <c r="CA81" s="14">
        <f>b4a!$B288</f>
        <v>0.6885</v>
      </c>
      <c r="CB81" s="14">
        <f>b4a!$D288</f>
        <v>0.14979999999999999</v>
      </c>
      <c r="CC81" s="14">
        <f>b4a!$F288</f>
        <v>0.15</v>
      </c>
      <c r="CD81" s="14">
        <f>b4a!$H288</f>
        <v>1.17E-2</v>
      </c>
      <c r="CN81" s="6"/>
      <c r="CO81" s="14"/>
      <c r="CP81" s="14"/>
      <c r="CQ81" s="14"/>
      <c r="CR81" s="14"/>
      <c r="EV81" s="7">
        <f>mgmt!$A293</f>
        <v>0.41660000000000003</v>
      </c>
      <c r="EW81" s="14">
        <f>mgmt!B293</f>
        <v>0.6835</v>
      </c>
      <c r="EX81" s="14">
        <f>1.96*mgmt!C293</f>
        <v>4.4884E-2</v>
      </c>
      <c r="EY81" s="14">
        <f>mgmt!D293</f>
        <v>0.1527</v>
      </c>
      <c r="EZ81" s="14">
        <f>1.96*mgmt!E293</f>
        <v>4.0376000000000002E-2</v>
      </c>
      <c r="FA81" s="14">
        <f>mgmt!F293</f>
        <v>0.1449</v>
      </c>
      <c r="FB81" s="14">
        <f>1.96*mgmt!G293</f>
        <v>2.9399999999999999E-2</v>
      </c>
      <c r="FC81" s="14">
        <f>mgmt!H293</f>
        <v>1.89E-2</v>
      </c>
      <c r="FD81" s="14">
        <f>1.96*mgmt!I293</f>
        <v>1.176E-2</v>
      </c>
    </row>
    <row r="82" spans="78:160" x14ac:dyDescent="0.25">
      <c r="BZ82" s="6">
        <f>b4a!$A289</f>
        <v>74</v>
      </c>
      <c r="CA82" s="14">
        <f>b4a!$B289</f>
        <v>0.68899999999999995</v>
      </c>
      <c r="CB82" s="14">
        <f>b4a!$D289</f>
        <v>0.14949999999999999</v>
      </c>
      <c r="CC82" s="14">
        <f>b4a!$F289</f>
        <v>0.14990000000000001</v>
      </c>
      <c r="CD82" s="14">
        <f>b4a!$H289</f>
        <v>1.1599999999999999E-2</v>
      </c>
      <c r="CN82" s="6"/>
      <c r="CO82" s="14"/>
      <c r="CP82" s="14"/>
      <c r="CQ82" s="14"/>
      <c r="CR82" s="14"/>
      <c r="EV82" s="7">
        <f>mgmt!$A294</f>
        <v>0.4234</v>
      </c>
      <c r="EW82" s="14">
        <f>mgmt!B294</f>
        <v>0.68210000000000004</v>
      </c>
      <c r="EX82" s="14">
        <f>1.96*mgmt!C294</f>
        <v>4.41E-2</v>
      </c>
      <c r="EY82" s="14">
        <f>mgmt!D294</f>
        <v>0.1535</v>
      </c>
      <c r="EZ82" s="14">
        <f>1.96*mgmt!E294</f>
        <v>3.9591999999999995E-2</v>
      </c>
      <c r="FA82" s="14">
        <f>mgmt!F294</f>
        <v>0.14580000000000001</v>
      </c>
      <c r="FB82" s="14">
        <f>1.96*mgmt!G294</f>
        <v>2.9007999999999999E-2</v>
      </c>
      <c r="FC82" s="14">
        <f>mgmt!H294</f>
        <v>1.8700000000000001E-2</v>
      </c>
      <c r="FD82" s="14">
        <f>1.96*mgmt!I294</f>
        <v>1.1368E-2</v>
      </c>
    </row>
    <row r="83" spans="78:160" x14ac:dyDescent="0.25">
      <c r="BZ83" s="6">
        <f>b4a!$A290</f>
        <v>75</v>
      </c>
      <c r="CA83" s="14">
        <f>b4a!$B290</f>
        <v>0.6895</v>
      </c>
      <c r="CB83" s="14">
        <f>b4a!$D290</f>
        <v>0.1492</v>
      </c>
      <c r="CC83" s="14">
        <f>b4a!$F290</f>
        <v>0.14979999999999999</v>
      </c>
      <c r="CD83" s="14">
        <f>b4a!$H290</f>
        <v>1.1599999999999999E-2</v>
      </c>
      <c r="CN83" s="6"/>
      <c r="CO83" s="14"/>
      <c r="CP83" s="14"/>
      <c r="CQ83" s="14"/>
      <c r="CR83" s="14"/>
      <c r="EV83" s="7">
        <f>mgmt!$A295</f>
        <v>0.42659999999999998</v>
      </c>
      <c r="EW83" s="14">
        <f>mgmt!B295</f>
        <v>0.68140000000000001</v>
      </c>
      <c r="EX83" s="14">
        <f>1.96*mgmt!C295</f>
        <v>4.3707999999999997E-2</v>
      </c>
      <c r="EY83" s="14">
        <f>mgmt!D295</f>
        <v>0.15379999999999999</v>
      </c>
      <c r="EZ83" s="14">
        <f>1.96*mgmt!E295</f>
        <v>3.9199999999999999E-2</v>
      </c>
      <c r="FA83" s="14">
        <f>mgmt!F295</f>
        <v>0.1462</v>
      </c>
      <c r="FB83" s="14">
        <f>1.96*mgmt!G295</f>
        <v>2.9007999999999999E-2</v>
      </c>
      <c r="FC83" s="14">
        <f>mgmt!H295</f>
        <v>1.8599999999999998E-2</v>
      </c>
      <c r="FD83" s="14">
        <f>1.96*mgmt!I295</f>
        <v>1.1172E-2</v>
      </c>
    </row>
    <row r="84" spans="78:160" x14ac:dyDescent="0.25">
      <c r="BZ84" s="6">
        <f>b4a!$A291</f>
        <v>76</v>
      </c>
      <c r="CA84" s="14">
        <f>b4a!$B291</f>
        <v>0.69</v>
      </c>
      <c r="CB84" s="14">
        <f>b4a!$D291</f>
        <v>0.14879999999999999</v>
      </c>
      <c r="CC84" s="14">
        <f>b4a!$F291</f>
        <v>0.1497</v>
      </c>
      <c r="CD84" s="14">
        <f>b4a!$H291</f>
        <v>1.15E-2</v>
      </c>
      <c r="CN84" s="6"/>
      <c r="CO84" s="14"/>
      <c r="CP84" s="14"/>
      <c r="CQ84" s="14"/>
      <c r="CR84" s="14"/>
      <c r="EV84" s="7">
        <f>mgmt!$A296</f>
        <v>0.42680000000000001</v>
      </c>
      <c r="EW84" s="14">
        <f>mgmt!B296</f>
        <v>0.68130000000000002</v>
      </c>
      <c r="EX84" s="14">
        <f>1.96*mgmt!C296</f>
        <v>4.3707999999999997E-2</v>
      </c>
      <c r="EY84" s="14">
        <f>mgmt!D296</f>
        <v>0.15379999999999999</v>
      </c>
      <c r="EZ84" s="14">
        <f>1.96*mgmt!E296</f>
        <v>3.9199999999999999E-2</v>
      </c>
      <c r="FA84" s="14">
        <f>mgmt!F296</f>
        <v>0.1462</v>
      </c>
      <c r="FB84" s="14">
        <f>1.96*mgmt!G296</f>
        <v>2.9007999999999999E-2</v>
      </c>
      <c r="FC84" s="14">
        <f>mgmt!H296</f>
        <v>1.8599999999999998E-2</v>
      </c>
      <c r="FD84" s="14">
        <f>1.96*mgmt!I296</f>
        <v>1.1172E-2</v>
      </c>
    </row>
    <row r="85" spans="78:160" x14ac:dyDescent="0.25">
      <c r="BZ85" s="6">
        <f>b4a!$A292</f>
        <v>77</v>
      </c>
      <c r="CA85" s="14">
        <f>b4a!$B292</f>
        <v>0.6905</v>
      </c>
      <c r="CB85" s="14">
        <f>b4a!$D292</f>
        <v>0.14849999999999999</v>
      </c>
      <c r="CC85" s="14">
        <f>b4a!$F292</f>
        <v>0.14960000000000001</v>
      </c>
      <c r="CD85" s="14">
        <f>b4a!$H292</f>
        <v>1.14E-2</v>
      </c>
      <c r="CN85" s="6"/>
      <c r="CO85" s="14"/>
      <c r="CP85" s="14"/>
      <c r="CQ85" s="14"/>
      <c r="CR85" s="14"/>
      <c r="EV85" s="7">
        <f>mgmt!$A297</f>
        <v>0.43340000000000001</v>
      </c>
      <c r="EW85" s="14">
        <f>mgmt!B297</f>
        <v>0.67989999999999995</v>
      </c>
      <c r="EX85" s="14">
        <f>1.96*mgmt!C297</f>
        <v>4.3119999999999999E-2</v>
      </c>
      <c r="EY85" s="14">
        <f>mgmt!D297</f>
        <v>0.15459999999999999</v>
      </c>
      <c r="EZ85" s="14">
        <f>1.96*mgmt!E297</f>
        <v>3.8415999999999999E-2</v>
      </c>
      <c r="FA85" s="14">
        <f>mgmt!F297</f>
        <v>0.14710000000000001</v>
      </c>
      <c r="FB85" s="14">
        <f>1.96*mgmt!G297</f>
        <v>2.8615999999999999E-2</v>
      </c>
      <c r="FC85" s="14">
        <f>mgmt!H297</f>
        <v>1.84E-2</v>
      </c>
      <c r="FD85" s="14">
        <f>1.96*mgmt!I297</f>
        <v>1.0976E-2</v>
      </c>
    </row>
    <row r="86" spans="78:160" x14ac:dyDescent="0.25">
      <c r="BZ86" s="6">
        <f>b4a!$A293</f>
        <v>78</v>
      </c>
      <c r="CA86" s="14">
        <f>b4a!$B293</f>
        <v>0.69099999999999995</v>
      </c>
      <c r="CB86" s="14">
        <f>b4a!$D293</f>
        <v>0.1482</v>
      </c>
      <c r="CC86" s="14">
        <f>b4a!$F293</f>
        <v>0.14940000000000001</v>
      </c>
      <c r="CD86" s="14">
        <f>b4a!$H293</f>
        <v>1.1299999999999999E-2</v>
      </c>
      <c r="CN86" s="6"/>
      <c r="CO86" s="14"/>
      <c r="CP86" s="14"/>
      <c r="CQ86" s="14"/>
      <c r="CR86" s="14"/>
      <c r="EV86" s="7">
        <f>mgmt!$A298</f>
        <v>0.44</v>
      </c>
      <c r="EW86" s="14">
        <f>mgmt!B298</f>
        <v>0.67849999999999999</v>
      </c>
      <c r="EX86" s="14">
        <f>1.96*mgmt!C298</f>
        <v>4.2335999999999999E-2</v>
      </c>
      <c r="EY86" s="14">
        <f>mgmt!D298</f>
        <v>0.15540000000000001</v>
      </c>
      <c r="EZ86" s="14">
        <f>1.96*mgmt!E298</f>
        <v>3.7828000000000001E-2</v>
      </c>
      <c r="FA86" s="14">
        <f>mgmt!F298</f>
        <v>0.1479</v>
      </c>
      <c r="FB86" s="14">
        <f>1.96*mgmt!G298</f>
        <v>2.8420000000000001E-2</v>
      </c>
      <c r="FC86" s="14">
        <f>mgmt!H298</f>
        <v>1.8200000000000001E-2</v>
      </c>
      <c r="FD86" s="14">
        <f>1.96*mgmt!I298</f>
        <v>1.0584E-2</v>
      </c>
    </row>
    <row r="87" spans="78:160" x14ac:dyDescent="0.25">
      <c r="BZ87" s="6">
        <f>b4a!$A294</f>
        <v>80</v>
      </c>
      <c r="CA87" s="14">
        <f>b4a!$B294</f>
        <v>0.69210000000000005</v>
      </c>
      <c r="CB87" s="14">
        <f>b4a!$D294</f>
        <v>0.14749999999999999</v>
      </c>
      <c r="CC87" s="14">
        <f>b4a!$F294</f>
        <v>0.1492</v>
      </c>
      <c r="CD87" s="14">
        <f>b4a!$H294</f>
        <v>1.12E-2</v>
      </c>
      <c r="CN87" s="6"/>
      <c r="CO87" s="14"/>
      <c r="CP87" s="14"/>
      <c r="CQ87" s="14"/>
      <c r="CR87" s="14"/>
      <c r="EV87" s="7">
        <f>mgmt!$A299</f>
        <v>0.44019999999999998</v>
      </c>
      <c r="EW87" s="14">
        <f>mgmt!B299</f>
        <v>0.67849999999999999</v>
      </c>
      <c r="EX87" s="14">
        <f>1.96*mgmt!C299</f>
        <v>4.2335999999999999E-2</v>
      </c>
      <c r="EY87" s="14">
        <f>mgmt!D299</f>
        <v>0.15540000000000001</v>
      </c>
      <c r="EZ87" s="14">
        <f>1.96*mgmt!E299</f>
        <v>3.7828000000000001E-2</v>
      </c>
      <c r="FA87" s="14">
        <f>mgmt!F299</f>
        <v>0.14799999999999999</v>
      </c>
      <c r="FB87" s="14">
        <f>1.96*mgmt!G299</f>
        <v>2.8420000000000001E-2</v>
      </c>
      <c r="FC87" s="14">
        <f>mgmt!H299</f>
        <v>1.8200000000000001E-2</v>
      </c>
      <c r="FD87" s="14">
        <f>1.96*mgmt!I299</f>
        <v>1.0584E-2</v>
      </c>
    </row>
    <row r="88" spans="78:160" x14ac:dyDescent="0.25">
      <c r="BZ88" s="6">
        <f>b4a!$A295</f>
        <v>82</v>
      </c>
      <c r="CA88" s="14">
        <f>b4a!$B295</f>
        <v>0.69310000000000005</v>
      </c>
      <c r="CB88" s="14">
        <f>b4a!$D295</f>
        <v>0.14680000000000001</v>
      </c>
      <c r="CC88" s="14">
        <f>b4a!$F295</f>
        <v>0.14899999999999999</v>
      </c>
      <c r="CD88" s="14">
        <f>b4a!$H295</f>
        <v>1.11E-2</v>
      </c>
      <c r="CN88" s="6"/>
      <c r="CO88" s="14"/>
      <c r="CP88" s="14"/>
      <c r="CQ88" s="14"/>
      <c r="CR88" s="14"/>
      <c r="EV88" s="7">
        <f>mgmt!$A300</f>
        <v>0.44319999999999998</v>
      </c>
      <c r="EW88" s="14">
        <f>mgmt!B300</f>
        <v>0.67779999999999996</v>
      </c>
      <c r="EX88" s="14">
        <f>1.96*mgmt!C300</f>
        <v>4.2139999999999997E-2</v>
      </c>
      <c r="EY88" s="14">
        <f>mgmt!D300</f>
        <v>0.15570000000000001</v>
      </c>
      <c r="EZ88" s="14">
        <f>1.96*mgmt!E300</f>
        <v>3.7435999999999997E-2</v>
      </c>
      <c r="FA88" s="14">
        <f>mgmt!F300</f>
        <v>0.1484</v>
      </c>
      <c r="FB88" s="14">
        <f>1.96*mgmt!G300</f>
        <v>2.8420000000000001E-2</v>
      </c>
      <c r="FC88" s="14">
        <f>mgmt!H300</f>
        <v>1.8100000000000002E-2</v>
      </c>
      <c r="FD88" s="14">
        <f>1.96*mgmt!I300</f>
        <v>1.0388E-2</v>
      </c>
    </row>
    <row r="89" spans="78:160" x14ac:dyDescent="0.25">
      <c r="BZ89" s="6">
        <f>b4a!$A296</f>
        <v>84</v>
      </c>
      <c r="CA89" s="14">
        <f>b4a!$B296</f>
        <v>0.69410000000000005</v>
      </c>
      <c r="CB89" s="14">
        <f>b4a!$D296</f>
        <v>0.1462</v>
      </c>
      <c r="CC89" s="14">
        <f>b4a!$F296</f>
        <v>0.14879999999999999</v>
      </c>
      <c r="CD89" s="14">
        <f>b4a!$H296</f>
        <v>1.09E-2</v>
      </c>
      <c r="CN89" s="6"/>
      <c r="CO89" s="14"/>
      <c r="CP89" s="14"/>
      <c r="CQ89" s="14"/>
      <c r="CR89" s="14"/>
      <c r="EV89" s="7">
        <f>mgmt!$A301</f>
        <v>0.44340000000000002</v>
      </c>
      <c r="EW89" s="14">
        <f>mgmt!B301</f>
        <v>0.67779999999999996</v>
      </c>
      <c r="EX89" s="14">
        <f>1.96*mgmt!C301</f>
        <v>4.1943999999999995E-2</v>
      </c>
      <c r="EY89" s="14">
        <f>mgmt!D301</f>
        <v>0.15579999999999999</v>
      </c>
      <c r="EZ89" s="14">
        <f>1.96*mgmt!E301</f>
        <v>3.7435999999999997E-2</v>
      </c>
      <c r="FA89" s="14">
        <f>mgmt!F301</f>
        <v>0.1484</v>
      </c>
      <c r="FB89" s="14">
        <f>1.96*mgmt!G301</f>
        <v>2.8420000000000001E-2</v>
      </c>
      <c r="FC89" s="14">
        <f>mgmt!H301</f>
        <v>1.8100000000000002E-2</v>
      </c>
      <c r="FD89" s="14">
        <f>1.96*mgmt!I301</f>
        <v>1.0388E-2</v>
      </c>
    </row>
    <row r="90" spans="78:160" x14ac:dyDescent="0.25">
      <c r="BZ90" s="6">
        <f>b4a!$A297</f>
        <v>85</v>
      </c>
      <c r="CA90" s="14">
        <f>b4a!$B297</f>
        <v>0.6946</v>
      </c>
      <c r="CB90" s="14">
        <f>b4a!$D297</f>
        <v>0.14580000000000001</v>
      </c>
      <c r="CC90" s="14">
        <f>b4a!$F297</f>
        <v>0.1487</v>
      </c>
      <c r="CD90" s="14">
        <f>b4a!$H297</f>
        <v>1.09E-2</v>
      </c>
      <c r="CN90" s="6"/>
      <c r="CO90" s="14"/>
      <c r="CP90" s="14"/>
      <c r="CQ90" s="14"/>
      <c r="CR90" s="14"/>
      <c r="EV90" s="7">
        <f>mgmt!$A302</f>
        <v>0.4466</v>
      </c>
      <c r="EW90" s="14">
        <f>mgmt!B302</f>
        <v>0.67710000000000004</v>
      </c>
      <c r="EX90" s="14">
        <f>1.96*mgmt!C302</f>
        <v>4.1748E-2</v>
      </c>
      <c r="EY90" s="14">
        <f>mgmt!D302</f>
        <v>0.15609999999999999</v>
      </c>
      <c r="EZ90" s="14">
        <f>1.96*mgmt!E302</f>
        <v>3.7044000000000001E-2</v>
      </c>
      <c r="FA90" s="14">
        <f>mgmt!F302</f>
        <v>0.14879999999999999</v>
      </c>
      <c r="FB90" s="14">
        <f>1.96*mgmt!G302</f>
        <v>2.8223999999999999E-2</v>
      </c>
      <c r="FC90" s="14">
        <f>mgmt!H302</f>
        <v>1.7999999999999999E-2</v>
      </c>
      <c r="FD90" s="14">
        <f>1.96*mgmt!I302</f>
        <v>1.0192E-2</v>
      </c>
    </row>
    <row r="91" spans="78:160" x14ac:dyDescent="0.25">
      <c r="BZ91" s="6">
        <f>b4a!$A298</f>
        <v>87</v>
      </c>
      <c r="CA91" s="14">
        <f>b4a!$B298</f>
        <v>0.6956</v>
      </c>
      <c r="CB91" s="14">
        <f>b4a!$D298</f>
        <v>0.1452</v>
      </c>
      <c r="CC91" s="14">
        <f>b4a!$F298</f>
        <v>0.1484</v>
      </c>
      <c r="CD91" s="14">
        <f>b4a!$H298</f>
        <v>1.0699999999999999E-2</v>
      </c>
      <c r="CN91" s="6"/>
      <c r="CO91" s="14"/>
      <c r="CP91" s="14"/>
      <c r="CQ91" s="14"/>
      <c r="CR91" s="14"/>
      <c r="EV91" s="7">
        <f>mgmt!$A303</f>
        <v>0.44679999999999997</v>
      </c>
      <c r="EW91" s="14">
        <f>mgmt!B303</f>
        <v>0.67700000000000005</v>
      </c>
      <c r="EX91" s="14">
        <f>1.96*mgmt!C303</f>
        <v>4.1748E-2</v>
      </c>
      <c r="EY91" s="14">
        <f>mgmt!D303</f>
        <v>0.15609999999999999</v>
      </c>
      <c r="EZ91" s="14">
        <f>1.96*mgmt!E303</f>
        <v>3.7044000000000001E-2</v>
      </c>
      <c r="FA91" s="14">
        <f>mgmt!F303</f>
        <v>0.14879999999999999</v>
      </c>
      <c r="FB91" s="14">
        <f>1.96*mgmt!G303</f>
        <v>2.8223999999999999E-2</v>
      </c>
      <c r="FC91" s="14">
        <f>mgmt!H303</f>
        <v>1.7999999999999999E-2</v>
      </c>
      <c r="FD91" s="14">
        <f>1.96*mgmt!I303</f>
        <v>1.0192E-2</v>
      </c>
    </row>
    <row r="92" spans="78:160" x14ac:dyDescent="0.25">
      <c r="BZ92" s="6">
        <f>b4a!$A299</f>
        <v>88</v>
      </c>
      <c r="CA92" s="14">
        <f>b4a!$B299</f>
        <v>0.69610000000000005</v>
      </c>
      <c r="CB92" s="14">
        <f>b4a!$D299</f>
        <v>0.14480000000000001</v>
      </c>
      <c r="CC92" s="14">
        <f>b4a!$F299</f>
        <v>0.14829999999999999</v>
      </c>
      <c r="CD92" s="14">
        <f>b4a!$H299</f>
        <v>1.0699999999999999E-2</v>
      </c>
      <c r="CN92" s="6"/>
      <c r="CO92" s="14"/>
      <c r="CP92" s="14"/>
      <c r="CQ92" s="14"/>
      <c r="CR92" s="14"/>
      <c r="EV92" s="7">
        <f>mgmt!$A304</f>
        <v>0.45</v>
      </c>
      <c r="EW92" s="14">
        <f>mgmt!B304</f>
        <v>0.67630000000000001</v>
      </c>
      <c r="EX92" s="14">
        <f>1.96*mgmt!C304</f>
        <v>4.1356000000000004E-2</v>
      </c>
      <c r="EY92" s="14">
        <f>mgmt!D304</f>
        <v>0.1565</v>
      </c>
      <c r="EZ92" s="14">
        <f>1.96*mgmt!E304</f>
        <v>3.6652000000000004E-2</v>
      </c>
      <c r="FA92" s="14">
        <f>mgmt!F304</f>
        <v>0.1492</v>
      </c>
      <c r="FB92" s="14">
        <f>1.96*mgmt!G304</f>
        <v>2.8223999999999999E-2</v>
      </c>
      <c r="FC92" s="14">
        <f>mgmt!H304</f>
        <v>1.7899999999999999E-2</v>
      </c>
      <c r="FD92" s="14">
        <f>1.96*mgmt!I304</f>
        <v>1.0192E-2</v>
      </c>
    </row>
    <row r="93" spans="78:160" x14ac:dyDescent="0.25">
      <c r="BZ93" s="6">
        <f>b4a!$A300</f>
        <v>90</v>
      </c>
      <c r="CA93" s="14">
        <f>b4a!$B300</f>
        <v>0.69720000000000004</v>
      </c>
      <c r="CB93" s="14">
        <f>b4a!$D300</f>
        <v>0.14419999999999999</v>
      </c>
      <c r="CC93" s="14">
        <f>b4a!$F300</f>
        <v>0.14810000000000001</v>
      </c>
      <c r="CD93" s="14">
        <f>b4a!$H300</f>
        <v>1.06E-2</v>
      </c>
      <c r="CN93" s="6"/>
      <c r="CO93" s="14"/>
      <c r="CP93" s="14"/>
      <c r="CQ93" s="14"/>
      <c r="CR93" s="14"/>
      <c r="EV93" s="7">
        <f>mgmt!$A305</f>
        <v>0.45019999999999999</v>
      </c>
      <c r="EW93" s="14">
        <f>mgmt!B305</f>
        <v>0.67630000000000001</v>
      </c>
      <c r="EX93" s="14">
        <f>1.96*mgmt!C305</f>
        <v>4.1356000000000004E-2</v>
      </c>
      <c r="EY93" s="14">
        <f>mgmt!D305</f>
        <v>0.1565</v>
      </c>
      <c r="EZ93" s="14">
        <f>1.96*mgmt!E305</f>
        <v>3.6652000000000004E-2</v>
      </c>
      <c r="FA93" s="14">
        <f>mgmt!F305</f>
        <v>0.14929999999999999</v>
      </c>
      <c r="FB93" s="14">
        <f>1.96*mgmt!G305</f>
        <v>2.8223999999999999E-2</v>
      </c>
      <c r="FC93" s="14">
        <f>mgmt!H305</f>
        <v>1.7899999999999999E-2</v>
      </c>
      <c r="FD93" s="14">
        <f>1.96*mgmt!I305</f>
        <v>9.9959999999999997E-3</v>
      </c>
    </row>
    <row r="94" spans="78:160" x14ac:dyDescent="0.25">
      <c r="BZ94" s="6">
        <f>b4a!$A301</f>
        <v>91</v>
      </c>
      <c r="CA94" s="14">
        <f>b4a!$B301</f>
        <v>0.69769999999999999</v>
      </c>
      <c r="CB94" s="14">
        <f>b4a!$D301</f>
        <v>0.14380000000000001</v>
      </c>
      <c r="CC94" s="14">
        <f>b4a!$F301</f>
        <v>0.14799999999999999</v>
      </c>
      <c r="CD94" s="14">
        <f>b4a!$H301</f>
        <v>1.0500000000000001E-2</v>
      </c>
      <c r="CN94" s="6"/>
      <c r="CO94" s="14"/>
      <c r="CP94" s="14"/>
      <c r="CQ94" s="14"/>
      <c r="CR94" s="14"/>
      <c r="EV94" s="7">
        <f>mgmt!$A306</f>
        <v>0.45319999999999999</v>
      </c>
      <c r="EW94" s="14">
        <f>mgmt!B306</f>
        <v>0.67559999999999998</v>
      </c>
      <c r="EX94" s="14">
        <f>1.96*mgmt!C306</f>
        <v>4.1160000000000002E-2</v>
      </c>
      <c r="EY94" s="14">
        <f>mgmt!D306</f>
        <v>0.15690000000000001</v>
      </c>
      <c r="EZ94" s="14">
        <f>1.96*mgmt!E306</f>
        <v>3.6455999999999995E-2</v>
      </c>
      <c r="FA94" s="14">
        <f>mgmt!F306</f>
        <v>0.1497</v>
      </c>
      <c r="FB94" s="14">
        <f>1.96*mgmt!G306</f>
        <v>2.8028000000000001E-2</v>
      </c>
      <c r="FC94" s="14">
        <f>mgmt!H306</f>
        <v>1.78E-2</v>
      </c>
      <c r="FD94" s="14">
        <f>1.96*mgmt!I306</f>
        <v>9.9959999999999997E-3</v>
      </c>
    </row>
    <row r="95" spans="78:160" x14ac:dyDescent="0.25">
      <c r="BZ95" s="6">
        <f>b4a!$A302</f>
        <v>95</v>
      </c>
      <c r="CA95" s="14">
        <f>b4a!$B302</f>
        <v>0.69969999999999999</v>
      </c>
      <c r="CB95" s="14">
        <f>b4a!$D302</f>
        <v>0.14249999999999999</v>
      </c>
      <c r="CC95" s="14">
        <f>b4a!$F302</f>
        <v>0.14749999999999999</v>
      </c>
      <c r="CD95" s="14">
        <f>b4a!$H302</f>
        <v>1.0200000000000001E-2</v>
      </c>
      <c r="CN95" s="6"/>
      <c r="CO95" s="14"/>
      <c r="CP95" s="14"/>
      <c r="CQ95" s="14"/>
      <c r="CR95" s="14"/>
      <c r="EV95" s="7">
        <f>mgmt!$A307</f>
        <v>0.45340000000000003</v>
      </c>
      <c r="EW95" s="14">
        <f>mgmt!B307</f>
        <v>0.67559999999999998</v>
      </c>
      <c r="EX95" s="14">
        <f>1.96*mgmt!C307</f>
        <v>4.1160000000000002E-2</v>
      </c>
      <c r="EY95" s="14">
        <f>mgmt!D307</f>
        <v>0.15690000000000001</v>
      </c>
      <c r="EZ95" s="14">
        <f>1.96*mgmt!E307</f>
        <v>3.6455999999999995E-2</v>
      </c>
      <c r="FA95" s="14">
        <f>mgmt!F307</f>
        <v>0.1497</v>
      </c>
      <c r="FB95" s="14">
        <f>1.96*mgmt!G307</f>
        <v>2.8028000000000001E-2</v>
      </c>
      <c r="FC95" s="14">
        <f>mgmt!H307</f>
        <v>1.78E-2</v>
      </c>
      <c r="FD95" s="14">
        <f>1.96*mgmt!I307</f>
        <v>9.9959999999999997E-3</v>
      </c>
    </row>
    <row r="96" spans="78:160" x14ac:dyDescent="0.25">
      <c r="BZ96" s="6">
        <f>b4a!$A303</f>
        <v>96</v>
      </c>
      <c r="CA96" s="14">
        <f>b4a!$B303</f>
        <v>0.70020000000000004</v>
      </c>
      <c r="CB96" s="14">
        <f>b4a!$D303</f>
        <v>0.14219999999999999</v>
      </c>
      <c r="CC96" s="14">
        <f>b4a!$F303</f>
        <v>0.1474</v>
      </c>
      <c r="CD96" s="14">
        <f>b4a!$H303</f>
        <v>1.0200000000000001E-2</v>
      </c>
      <c r="CN96" s="6"/>
      <c r="CO96" s="14"/>
      <c r="CP96" s="14"/>
      <c r="CQ96" s="14"/>
      <c r="CR96" s="14"/>
      <c r="EV96" s="7">
        <f>mgmt!$A308</f>
        <v>0.45979999999999999</v>
      </c>
      <c r="EW96" s="14">
        <f>mgmt!B308</f>
        <v>0.67420000000000002</v>
      </c>
      <c r="EX96" s="14">
        <f>1.96*mgmt!C308</f>
        <v>4.0571999999999997E-2</v>
      </c>
      <c r="EY96" s="14">
        <f>mgmt!D308</f>
        <v>0.15770000000000001</v>
      </c>
      <c r="EZ96" s="14">
        <f>1.96*mgmt!E308</f>
        <v>3.5867999999999997E-2</v>
      </c>
      <c r="FA96" s="14">
        <f>mgmt!F308</f>
        <v>0.15049999999999999</v>
      </c>
      <c r="FB96" s="14">
        <f>1.96*mgmt!G308</f>
        <v>2.8028000000000001E-2</v>
      </c>
      <c r="FC96" s="14">
        <f>mgmt!H308</f>
        <v>1.7600000000000001E-2</v>
      </c>
      <c r="FD96" s="14">
        <f>1.96*mgmt!I308</f>
        <v>9.7999999999999997E-3</v>
      </c>
    </row>
    <row r="97" spans="78:160" x14ac:dyDescent="0.25">
      <c r="BZ97" s="6">
        <f>b4a!$A304</f>
        <v>97</v>
      </c>
      <c r="CA97" s="14">
        <f>b4a!$B304</f>
        <v>0.70069999999999999</v>
      </c>
      <c r="CB97" s="14">
        <f>b4a!$D304</f>
        <v>0.1419</v>
      </c>
      <c r="CC97" s="14">
        <f>b4a!$F304</f>
        <v>0.14729999999999999</v>
      </c>
      <c r="CD97" s="14">
        <f>b4a!$H304</f>
        <v>1.01E-2</v>
      </c>
      <c r="CN97" s="6"/>
      <c r="CO97" s="14"/>
      <c r="CP97" s="14"/>
      <c r="CQ97" s="14"/>
      <c r="CR97" s="14"/>
      <c r="EV97" s="7">
        <f>mgmt!$A309</f>
        <v>0.46</v>
      </c>
      <c r="EW97" s="14">
        <f>mgmt!B309</f>
        <v>0.67410000000000003</v>
      </c>
      <c r="EX97" s="14">
        <f>1.96*mgmt!C309</f>
        <v>4.0571999999999997E-2</v>
      </c>
      <c r="EY97" s="14">
        <f>mgmt!D309</f>
        <v>0.15770000000000001</v>
      </c>
      <c r="EZ97" s="14">
        <f>1.96*mgmt!E309</f>
        <v>3.5867999999999997E-2</v>
      </c>
      <c r="FA97" s="14">
        <f>mgmt!F309</f>
        <v>0.15049999999999999</v>
      </c>
      <c r="FB97" s="14">
        <f>1.96*mgmt!G309</f>
        <v>2.8028000000000001E-2</v>
      </c>
      <c r="FC97" s="14">
        <f>mgmt!H309</f>
        <v>1.7600000000000001E-2</v>
      </c>
      <c r="FD97" s="14">
        <f>1.96*mgmt!I309</f>
        <v>9.6039999999999997E-3</v>
      </c>
    </row>
    <row r="98" spans="78:160" x14ac:dyDescent="0.25">
      <c r="BZ98" s="6">
        <f>b4a!$A305</f>
        <v>98</v>
      </c>
      <c r="CA98" s="14">
        <f>b4a!$B305</f>
        <v>0.70120000000000005</v>
      </c>
      <c r="CB98" s="14">
        <f>b4a!$D305</f>
        <v>0.1416</v>
      </c>
      <c r="CC98" s="14">
        <f>b4a!$F305</f>
        <v>0.1472</v>
      </c>
      <c r="CD98" s="14">
        <f>b4a!$H305</f>
        <v>1.01E-2</v>
      </c>
      <c r="CN98" s="6"/>
      <c r="CO98" s="14"/>
      <c r="CP98" s="14"/>
      <c r="CQ98" s="14"/>
      <c r="CR98" s="14"/>
      <c r="EV98" s="7">
        <f>mgmt!$A310</f>
        <v>0.46339999999999998</v>
      </c>
      <c r="EW98" s="14">
        <f>mgmt!B310</f>
        <v>0.6734</v>
      </c>
      <c r="EX98" s="14">
        <f>1.96*mgmt!C310</f>
        <v>4.018E-2</v>
      </c>
      <c r="EY98" s="14">
        <f>mgmt!D310</f>
        <v>0.15809999999999999</v>
      </c>
      <c r="EZ98" s="14">
        <f>1.96*mgmt!E310</f>
        <v>3.5476000000000001E-2</v>
      </c>
      <c r="FA98" s="14">
        <f>mgmt!F310</f>
        <v>0.151</v>
      </c>
      <c r="FB98" s="14">
        <f>1.96*mgmt!G310</f>
        <v>2.7832000000000003E-2</v>
      </c>
      <c r="FC98" s="14">
        <f>mgmt!H310</f>
        <v>1.7500000000000002E-2</v>
      </c>
      <c r="FD98" s="14">
        <f>1.96*mgmt!I310</f>
        <v>9.6039999999999997E-3</v>
      </c>
    </row>
    <row r="99" spans="78:160" x14ac:dyDescent="0.25">
      <c r="BZ99" s="6">
        <f>b4a!$A306</f>
        <v>99</v>
      </c>
      <c r="CA99" s="14">
        <f>b4a!$B306</f>
        <v>0.70169999999999999</v>
      </c>
      <c r="CB99" s="14">
        <f>b4a!$D306</f>
        <v>0.14119999999999999</v>
      </c>
      <c r="CC99" s="14">
        <f>b4a!$F306</f>
        <v>0.14710000000000001</v>
      </c>
      <c r="CD99" s="14">
        <f>b4a!$H306</f>
        <v>0.01</v>
      </c>
      <c r="CN99" s="6"/>
      <c r="CO99" s="14"/>
      <c r="CP99" s="14"/>
      <c r="CQ99" s="14"/>
      <c r="CR99" s="14"/>
      <c r="EV99" s="7">
        <f>mgmt!$A311</f>
        <v>0.46660000000000001</v>
      </c>
      <c r="EW99" s="14">
        <f>mgmt!B311</f>
        <v>0.67269999999999996</v>
      </c>
      <c r="EX99" s="14">
        <f>1.96*mgmt!C311</f>
        <v>3.9983999999999999E-2</v>
      </c>
      <c r="EY99" s="14">
        <f>mgmt!D311</f>
        <v>0.15840000000000001</v>
      </c>
      <c r="EZ99" s="14">
        <f>1.96*mgmt!E311</f>
        <v>3.5279999999999999E-2</v>
      </c>
      <c r="FA99" s="14">
        <f>mgmt!F311</f>
        <v>0.15140000000000001</v>
      </c>
      <c r="FB99" s="14">
        <f>1.96*mgmt!G311</f>
        <v>2.7832000000000003E-2</v>
      </c>
      <c r="FC99" s="14">
        <f>mgmt!H311</f>
        <v>1.7399999999999999E-2</v>
      </c>
      <c r="FD99" s="14">
        <f>1.96*mgmt!I311</f>
        <v>9.4079999999999997E-3</v>
      </c>
    </row>
    <row r="100" spans="78:160" x14ac:dyDescent="0.25">
      <c r="BZ100" s="6">
        <f>b4a!$A307</f>
        <v>100</v>
      </c>
      <c r="CA100" s="14">
        <f>b4a!$B307</f>
        <v>0.70220000000000005</v>
      </c>
      <c r="CB100" s="14">
        <f>b4a!$D307</f>
        <v>0.1409</v>
      </c>
      <c r="CC100" s="14">
        <f>b4a!$F307</f>
        <v>0.14699999999999999</v>
      </c>
      <c r="CD100" s="14">
        <f>b4a!$H307</f>
        <v>9.9000000000000008E-3</v>
      </c>
      <c r="CN100" s="6"/>
      <c r="CO100" s="14"/>
      <c r="CP100" s="14"/>
      <c r="CQ100" s="14"/>
      <c r="CR100" s="14"/>
      <c r="EV100" s="7">
        <f>mgmt!$A312</f>
        <v>0.46679999999999999</v>
      </c>
      <c r="EW100" s="14">
        <f>mgmt!B312</f>
        <v>0.67269999999999996</v>
      </c>
      <c r="EX100" s="14">
        <f>1.96*mgmt!C312</f>
        <v>3.9983999999999999E-2</v>
      </c>
      <c r="EY100" s="14">
        <f>mgmt!D312</f>
        <v>0.1585</v>
      </c>
      <c r="EZ100" s="14">
        <f>1.96*mgmt!E312</f>
        <v>3.5279999999999999E-2</v>
      </c>
      <c r="FA100" s="14">
        <f>mgmt!F312</f>
        <v>0.15140000000000001</v>
      </c>
      <c r="FB100" s="14">
        <f>1.96*mgmt!G312</f>
        <v>2.7832000000000003E-2</v>
      </c>
      <c r="FC100" s="14">
        <f>mgmt!H312</f>
        <v>1.7399999999999999E-2</v>
      </c>
      <c r="FD100" s="14">
        <f>1.96*mgmt!I312</f>
        <v>9.4079999999999997E-3</v>
      </c>
    </row>
    <row r="101" spans="78:160" x14ac:dyDescent="0.25">
      <c r="BZ101" s="6"/>
      <c r="CA101" s="14"/>
      <c r="CB101" s="14"/>
      <c r="CC101" s="14"/>
      <c r="CD101" s="14"/>
      <c r="CN101" s="6"/>
      <c r="CO101" s="14"/>
      <c r="CP101" s="14"/>
      <c r="CQ101" s="14"/>
      <c r="CR101" s="14"/>
      <c r="EV101" s="7">
        <f>mgmt!$A313</f>
        <v>0.4698</v>
      </c>
      <c r="EW101" s="14">
        <f>mgmt!B313</f>
        <v>0.67200000000000004</v>
      </c>
      <c r="EX101" s="14">
        <f>1.96*mgmt!C313</f>
        <v>3.9787999999999997E-2</v>
      </c>
      <c r="EY101" s="14">
        <f>mgmt!D313</f>
        <v>0.1588</v>
      </c>
      <c r="EZ101" s="14">
        <f>1.96*mgmt!E313</f>
        <v>3.4888000000000002E-2</v>
      </c>
      <c r="FA101" s="14">
        <f>mgmt!F313</f>
        <v>0.15179999999999999</v>
      </c>
      <c r="FB101" s="14">
        <f>1.96*mgmt!G313</f>
        <v>2.7635999999999997E-2</v>
      </c>
      <c r="FC101" s="14">
        <f>mgmt!H313</f>
        <v>1.7399999999999999E-2</v>
      </c>
      <c r="FD101" s="14">
        <f>1.96*mgmt!I313</f>
        <v>9.4079999999999997E-3</v>
      </c>
    </row>
    <row r="102" spans="78:160" x14ac:dyDescent="0.25">
      <c r="BZ102" s="6"/>
      <c r="CA102" s="14"/>
      <c r="CB102" s="14"/>
      <c r="CC102" s="14"/>
      <c r="CD102" s="14"/>
      <c r="EV102" s="7">
        <f>mgmt!$A314</f>
        <v>0.47</v>
      </c>
      <c r="EW102" s="14">
        <f>mgmt!B314</f>
        <v>0.67200000000000004</v>
      </c>
      <c r="EX102" s="14">
        <f>1.96*mgmt!C314</f>
        <v>3.9787999999999997E-2</v>
      </c>
      <c r="EY102" s="14">
        <f>mgmt!D314</f>
        <v>0.1588</v>
      </c>
      <c r="EZ102" s="14">
        <f>1.96*mgmt!E314</f>
        <v>3.4888000000000002E-2</v>
      </c>
      <c r="FA102" s="14">
        <f>mgmt!F314</f>
        <v>0.15190000000000001</v>
      </c>
      <c r="FB102" s="14">
        <f>1.96*mgmt!G314</f>
        <v>2.7635999999999997E-2</v>
      </c>
      <c r="FC102" s="14">
        <f>mgmt!H314</f>
        <v>1.7399999999999999E-2</v>
      </c>
      <c r="FD102" s="14">
        <f>1.96*mgmt!I314</f>
        <v>9.4079999999999997E-3</v>
      </c>
    </row>
    <row r="103" spans="78:160" x14ac:dyDescent="0.25">
      <c r="EV103" s="7">
        <f>mgmt!$A315</f>
        <v>0.47660000000000002</v>
      </c>
      <c r="EW103" s="14">
        <f>mgmt!B315</f>
        <v>0.67049999999999998</v>
      </c>
      <c r="EX103" s="14">
        <f>1.96*mgmt!C315</f>
        <v>3.9199999999999999E-2</v>
      </c>
      <c r="EY103" s="14">
        <f>mgmt!D315</f>
        <v>0.15959999999999999</v>
      </c>
      <c r="EZ103" s="14">
        <f>1.96*mgmt!E315</f>
        <v>3.4300000000000004E-2</v>
      </c>
      <c r="FA103" s="14">
        <f>mgmt!F315</f>
        <v>0.1527</v>
      </c>
      <c r="FB103" s="14">
        <f>1.96*mgmt!G315</f>
        <v>2.7635999999999997E-2</v>
      </c>
      <c r="FC103" s="14">
        <f>mgmt!H315</f>
        <v>1.72E-2</v>
      </c>
      <c r="FD103" s="14">
        <f>1.96*mgmt!I315</f>
        <v>9.2119999999999997E-3</v>
      </c>
    </row>
    <row r="104" spans="78:160" x14ac:dyDescent="0.25">
      <c r="EV104" s="7">
        <f>mgmt!$A316</f>
        <v>0.4768</v>
      </c>
      <c r="EW104" s="14">
        <f>mgmt!B316</f>
        <v>0.6704</v>
      </c>
      <c r="EX104" s="14">
        <f>1.96*mgmt!C316</f>
        <v>3.9199999999999999E-2</v>
      </c>
      <c r="EY104" s="14">
        <f>mgmt!D316</f>
        <v>0.15959999999999999</v>
      </c>
      <c r="EZ104" s="14">
        <f>1.96*mgmt!E316</f>
        <v>3.4300000000000004E-2</v>
      </c>
      <c r="FA104" s="14">
        <f>mgmt!F316</f>
        <v>0.15279999999999999</v>
      </c>
      <c r="FB104" s="14">
        <f>1.96*mgmt!G316</f>
        <v>2.7635999999999997E-2</v>
      </c>
      <c r="FC104" s="14">
        <f>mgmt!H316</f>
        <v>1.72E-2</v>
      </c>
      <c r="FD104" s="14">
        <f>1.96*mgmt!I316</f>
        <v>9.2119999999999997E-3</v>
      </c>
    </row>
    <row r="105" spans="78:160" x14ac:dyDescent="0.25">
      <c r="EV105" s="7">
        <f>mgmt!$A317</f>
        <v>0.48</v>
      </c>
      <c r="EW105" s="14">
        <f>mgmt!B317</f>
        <v>0.66969999999999996</v>
      </c>
      <c r="EX105" s="14">
        <f>1.96*mgmt!C317</f>
        <v>3.9004000000000004E-2</v>
      </c>
      <c r="EY105" s="14">
        <f>mgmt!D317</f>
        <v>0.16</v>
      </c>
      <c r="EZ105" s="14">
        <f>1.96*mgmt!E317</f>
        <v>3.4103999999999995E-2</v>
      </c>
      <c r="FA105" s="14">
        <f>mgmt!F317</f>
        <v>0.1532</v>
      </c>
      <c r="FB105" s="14">
        <f>1.96*mgmt!G317</f>
        <v>2.7635999999999997E-2</v>
      </c>
      <c r="FC105" s="14">
        <f>mgmt!H317</f>
        <v>1.7100000000000001E-2</v>
      </c>
      <c r="FD105" s="14">
        <f>1.96*mgmt!I317</f>
        <v>9.0159999999999997E-3</v>
      </c>
    </row>
    <row r="106" spans="78:160" x14ac:dyDescent="0.25">
      <c r="EV106" s="7">
        <f>mgmt!$A318</f>
        <v>0.48020000000000002</v>
      </c>
      <c r="EW106" s="14">
        <f>mgmt!B318</f>
        <v>0.66969999999999996</v>
      </c>
      <c r="EX106" s="14">
        <f>1.96*mgmt!C318</f>
        <v>3.9004000000000004E-2</v>
      </c>
      <c r="EY106" s="14">
        <f>mgmt!D318</f>
        <v>0.16</v>
      </c>
      <c r="EZ106" s="14">
        <f>1.96*mgmt!E318</f>
        <v>3.4103999999999995E-2</v>
      </c>
      <c r="FA106" s="14">
        <f>mgmt!F318</f>
        <v>0.1532</v>
      </c>
      <c r="FB106" s="14">
        <f>1.96*mgmt!G318</f>
        <v>2.7439999999999999E-2</v>
      </c>
      <c r="FC106" s="14">
        <f>mgmt!H318</f>
        <v>1.7100000000000001E-2</v>
      </c>
      <c r="FD106" s="14">
        <f>1.96*mgmt!I318</f>
        <v>9.0159999999999997E-3</v>
      </c>
    </row>
    <row r="107" spans="78:160" x14ac:dyDescent="0.25">
      <c r="EV107" s="7">
        <f>mgmt!$A319</f>
        <v>0.48320000000000002</v>
      </c>
      <c r="EW107" s="14">
        <f>mgmt!B319</f>
        <v>0.66900000000000004</v>
      </c>
      <c r="EX107" s="14">
        <f>1.96*mgmt!C319</f>
        <v>3.8808000000000002E-2</v>
      </c>
      <c r="EY107" s="14">
        <f>mgmt!D319</f>
        <v>0.16039999999999999</v>
      </c>
      <c r="EZ107" s="14">
        <f>1.96*mgmt!E319</f>
        <v>3.3908000000000001E-2</v>
      </c>
      <c r="FA107" s="14">
        <f>mgmt!F319</f>
        <v>0.15359999999999999</v>
      </c>
      <c r="FB107" s="14">
        <f>1.96*mgmt!G319</f>
        <v>2.7439999999999999E-2</v>
      </c>
      <c r="FC107" s="14">
        <f>mgmt!H319</f>
        <v>1.7000000000000001E-2</v>
      </c>
      <c r="FD107" s="14">
        <f>1.96*mgmt!I319</f>
        <v>9.0159999999999997E-3</v>
      </c>
    </row>
    <row r="108" spans="78:160" x14ac:dyDescent="0.25">
      <c r="EV108" s="7">
        <f>mgmt!$A320</f>
        <v>0.4834</v>
      </c>
      <c r="EW108" s="14">
        <f>mgmt!B320</f>
        <v>0.66900000000000004</v>
      </c>
      <c r="EX108" s="14">
        <f>1.96*mgmt!C320</f>
        <v>3.8808000000000002E-2</v>
      </c>
      <c r="EY108" s="14">
        <f>mgmt!D320</f>
        <v>0.16039999999999999</v>
      </c>
      <c r="EZ108" s="14">
        <f>1.96*mgmt!E320</f>
        <v>3.3908000000000001E-2</v>
      </c>
      <c r="FA108" s="14">
        <f>mgmt!F320</f>
        <v>0.15359999999999999</v>
      </c>
      <c r="FB108" s="14">
        <f>1.96*mgmt!G320</f>
        <v>2.7439999999999999E-2</v>
      </c>
      <c r="FC108" s="14">
        <f>mgmt!H320</f>
        <v>1.7000000000000001E-2</v>
      </c>
      <c r="FD108" s="14">
        <f>1.96*mgmt!I320</f>
        <v>9.0159999999999997E-3</v>
      </c>
    </row>
    <row r="109" spans="78:160" x14ac:dyDescent="0.25">
      <c r="EV109" s="7">
        <f>mgmt!$A321</f>
        <v>0.49</v>
      </c>
      <c r="EW109" s="14">
        <f>mgmt!B321</f>
        <v>0.66749999999999998</v>
      </c>
      <c r="EX109" s="14">
        <f>1.96*mgmt!C321</f>
        <v>3.8415999999999999E-2</v>
      </c>
      <c r="EY109" s="14">
        <f>mgmt!D321</f>
        <v>0.16120000000000001</v>
      </c>
      <c r="EZ109" s="14">
        <f>1.96*mgmt!E321</f>
        <v>3.3515999999999997E-2</v>
      </c>
      <c r="FA109" s="14">
        <f>mgmt!F321</f>
        <v>0.1545</v>
      </c>
      <c r="FB109" s="14">
        <f>1.96*mgmt!G321</f>
        <v>2.7439999999999999E-2</v>
      </c>
      <c r="FC109" s="14">
        <f>mgmt!H321</f>
        <v>1.6799999999999999E-2</v>
      </c>
      <c r="FD109" s="14">
        <f>1.96*mgmt!I321</f>
        <v>8.8199999999999997E-3</v>
      </c>
    </row>
    <row r="110" spans="78:160" x14ac:dyDescent="0.25">
      <c r="EV110" s="7">
        <f>mgmt!$A322</f>
        <v>0.49320000000000003</v>
      </c>
      <c r="EW110" s="14">
        <f>mgmt!B322</f>
        <v>0.66679999999999995</v>
      </c>
      <c r="EX110" s="14">
        <f>1.96*mgmt!C322</f>
        <v>3.8219999999999997E-2</v>
      </c>
      <c r="EY110" s="14">
        <f>mgmt!D322</f>
        <v>0.1615</v>
      </c>
      <c r="EZ110" s="14">
        <f>1.96*mgmt!E322</f>
        <v>3.3320000000000002E-2</v>
      </c>
      <c r="FA110" s="14">
        <f>mgmt!F322</f>
        <v>0.15490000000000001</v>
      </c>
      <c r="FB110" s="14">
        <f>1.96*mgmt!G322</f>
        <v>2.7439999999999999E-2</v>
      </c>
      <c r="FC110" s="14">
        <f>mgmt!H322</f>
        <v>1.67E-2</v>
      </c>
      <c r="FD110" s="14">
        <f>1.96*mgmt!I322</f>
        <v>8.8199999999999997E-3</v>
      </c>
    </row>
    <row r="111" spans="78:160" x14ac:dyDescent="0.25">
      <c r="EV111" s="7">
        <f>mgmt!$A323</f>
        <v>0.49340000000000001</v>
      </c>
      <c r="EW111" s="14">
        <f>mgmt!B323</f>
        <v>0.66679999999999995</v>
      </c>
      <c r="EX111" s="14">
        <f>1.96*mgmt!C323</f>
        <v>3.8219999999999997E-2</v>
      </c>
      <c r="EY111" s="14">
        <f>mgmt!D323</f>
        <v>0.16159999999999999</v>
      </c>
      <c r="EZ111" s="14">
        <f>1.96*mgmt!E323</f>
        <v>3.3320000000000002E-2</v>
      </c>
      <c r="FA111" s="14">
        <f>mgmt!F323</f>
        <v>0.155</v>
      </c>
      <c r="FB111" s="14">
        <f>1.96*mgmt!G323</f>
        <v>2.7439999999999999E-2</v>
      </c>
      <c r="FC111" s="14">
        <f>mgmt!H323</f>
        <v>1.67E-2</v>
      </c>
      <c r="FD111" s="14">
        <f>1.96*mgmt!I323</f>
        <v>8.8199999999999997E-3</v>
      </c>
    </row>
    <row r="112" spans="78:160" x14ac:dyDescent="0.25">
      <c r="EV112" s="7">
        <f>mgmt!$A324</f>
        <v>0.49659999999999999</v>
      </c>
      <c r="EW112" s="14">
        <f>mgmt!B324</f>
        <v>0.66600000000000004</v>
      </c>
      <c r="EX112" s="14">
        <f>1.96*mgmt!C324</f>
        <v>3.8024000000000002E-2</v>
      </c>
      <c r="EY112" s="14">
        <f>mgmt!D324</f>
        <v>0.16189999999999999</v>
      </c>
      <c r="EZ112" s="14">
        <f>1.96*mgmt!E324</f>
        <v>3.3123999999999994E-2</v>
      </c>
      <c r="FA112" s="14">
        <f>mgmt!F324</f>
        <v>0.15540000000000001</v>
      </c>
      <c r="FB112" s="14">
        <f>1.96*mgmt!G324</f>
        <v>2.7439999999999999E-2</v>
      </c>
      <c r="FC112" s="14">
        <f>mgmt!H324</f>
        <v>1.66E-2</v>
      </c>
      <c r="FD112" s="14">
        <f>1.96*mgmt!I324</f>
        <v>8.6239999999999997E-3</v>
      </c>
    </row>
    <row r="113" spans="152:160" x14ac:dyDescent="0.25">
      <c r="EV113" s="7">
        <f>mgmt!$A325</f>
        <v>0.49680000000000002</v>
      </c>
      <c r="EW113" s="14">
        <f>mgmt!B325</f>
        <v>0.66600000000000004</v>
      </c>
      <c r="EX113" s="14">
        <f>1.96*mgmt!C325</f>
        <v>3.8024000000000002E-2</v>
      </c>
      <c r="EY113" s="14">
        <f>mgmt!D325</f>
        <v>0.16200000000000001</v>
      </c>
      <c r="EZ113" s="14">
        <f>1.96*mgmt!E325</f>
        <v>3.3123999999999994E-2</v>
      </c>
      <c r="FA113" s="14">
        <f>mgmt!F325</f>
        <v>0.15540000000000001</v>
      </c>
      <c r="FB113" s="14">
        <f>1.96*mgmt!G325</f>
        <v>2.7439999999999999E-2</v>
      </c>
      <c r="FC113" s="14">
        <f>mgmt!H325</f>
        <v>1.66E-2</v>
      </c>
      <c r="FD113" s="14">
        <f>1.96*mgmt!I325</f>
        <v>8.6239999999999997E-3</v>
      </c>
    </row>
    <row r="114" spans="152:160" x14ac:dyDescent="0.25">
      <c r="EV114" s="7">
        <f>mgmt!$A326</f>
        <v>0.5</v>
      </c>
      <c r="EW114" s="14">
        <f>mgmt!B326</f>
        <v>0.6653</v>
      </c>
      <c r="EX114" s="14">
        <f>1.96*mgmt!C326</f>
        <v>3.8024000000000002E-2</v>
      </c>
      <c r="EY114" s="14">
        <f>mgmt!D326</f>
        <v>0.1623</v>
      </c>
      <c r="EZ114" s="14">
        <f>1.96*mgmt!E326</f>
        <v>3.2927999999999999E-2</v>
      </c>
      <c r="FA114" s="14">
        <f>mgmt!F326</f>
        <v>0.15579999999999999</v>
      </c>
      <c r="FB114" s="14">
        <f>1.96*mgmt!G326</f>
        <v>2.7439999999999999E-2</v>
      </c>
      <c r="FC114" s="14">
        <f>mgmt!H326</f>
        <v>1.6500000000000001E-2</v>
      </c>
      <c r="FD114" s="14">
        <f>1.96*mgmt!I326</f>
        <v>8.6239999999999997E-3</v>
      </c>
    </row>
    <row r="115" spans="152:160" x14ac:dyDescent="0.25">
      <c r="EV115" s="7">
        <f>mgmt!$A327</f>
        <v>0.50660000000000005</v>
      </c>
      <c r="EW115" s="14">
        <f>mgmt!B327</f>
        <v>0.66379999999999995</v>
      </c>
      <c r="EX115" s="14">
        <f>1.96*mgmt!C327</f>
        <v>3.7828000000000001E-2</v>
      </c>
      <c r="EY115" s="14">
        <f>mgmt!D327</f>
        <v>0.16309999999999999</v>
      </c>
      <c r="EZ115" s="14">
        <f>1.96*mgmt!E327</f>
        <v>3.2536000000000002E-2</v>
      </c>
      <c r="FA115" s="14">
        <f>mgmt!F327</f>
        <v>0.15670000000000001</v>
      </c>
      <c r="FB115" s="14">
        <f>1.96*mgmt!G327</f>
        <v>2.7243999999999997E-2</v>
      </c>
      <c r="FC115" s="14">
        <f>mgmt!H327</f>
        <v>1.6400000000000001E-2</v>
      </c>
      <c r="FD115" s="14">
        <f>1.96*mgmt!I327</f>
        <v>8.4279999999999997E-3</v>
      </c>
    </row>
    <row r="116" spans="152:160" x14ac:dyDescent="0.25">
      <c r="EV116" s="7">
        <f>mgmt!$A328</f>
        <v>0.50680000000000003</v>
      </c>
      <c r="EW116" s="14">
        <f>mgmt!B328</f>
        <v>0.66369999999999996</v>
      </c>
      <c r="EX116" s="14">
        <f>1.96*mgmt!C328</f>
        <v>3.7631999999999999E-2</v>
      </c>
      <c r="EY116" s="14">
        <f>mgmt!D328</f>
        <v>0.16309999999999999</v>
      </c>
      <c r="EZ116" s="14">
        <f>1.96*mgmt!E328</f>
        <v>3.2536000000000002E-2</v>
      </c>
      <c r="FA116" s="14">
        <f>mgmt!F328</f>
        <v>0.15679999999999999</v>
      </c>
      <c r="FB116" s="14">
        <f>1.96*mgmt!G328</f>
        <v>2.7243999999999997E-2</v>
      </c>
      <c r="FC116" s="14">
        <f>mgmt!H328</f>
        <v>1.6400000000000001E-2</v>
      </c>
      <c r="FD116" s="14">
        <f>1.96*mgmt!I328</f>
        <v>8.4279999999999997E-3</v>
      </c>
    </row>
    <row r="117" spans="152:160" x14ac:dyDescent="0.25">
      <c r="EV117" s="7">
        <f>mgmt!$A329</f>
        <v>0.51</v>
      </c>
      <c r="EW117" s="14">
        <f>mgmt!B329</f>
        <v>0.66300000000000003</v>
      </c>
      <c r="EX117" s="14">
        <f>1.96*mgmt!C329</f>
        <v>3.7631999999999999E-2</v>
      </c>
      <c r="EY117" s="14">
        <f>mgmt!D329</f>
        <v>0.16350000000000001</v>
      </c>
      <c r="EZ117" s="14">
        <f>1.96*mgmt!E329</f>
        <v>3.2340000000000001E-2</v>
      </c>
      <c r="FA117" s="14">
        <f>mgmt!F329</f>
        <v>0.15720000000000001</v>
      </c>
      <c r="FB117" s="14">
        <f>1.96*mgmt!G329</f>
        <v>2.7243999999999997E-2</v>
      </c>
      <c r="FC117" s="14">
        <f>mgmt!H329</f>
        <v>1.6299999999999999E-2</v>
      </c>
      <c r="FD117" s="14">
        <f>1.96*mgmt!I329</f>
        <v>8.4279999999999997E-3</v>
      </c>
    </row>
    <row r="118" spans="152:160" x14ac:dyDescent="0.25">
      <c r="EV118" s="7">
        <f>mgmt!$A330</f>
        <v>0.51659999999999995</v>
      </c>
      <c r="EW118" s="14">
        <f>mgmt!B330</f>
        <v>0.66149999999999998</v>
      </c>
      <c r="EX118" s="14">
        <f>1.96*mgmt!C330</f>
        <v>3.7435999999999997E-2</v>
      </c>
      <c r="EY118" s="14">
        <f>mgmt!D330</f>
        <v>0.1643</v>
      </c>
      <c r="EZ118" s="14">
        <f>1.96*mgmt!E330</f>
        <v>3.2143999999999999E-2</v>
      </c>
      <c r="FA118" s="14">
        <f>mgmt!F330</f>
        <v>0.15809999999999999</v>
      </c>
      <c r="FB118" s="14">
        <f>1.96*mgmt!G330</f>
        <v>2.7439999999999999E-2</v>
      </c>
      <c r="FC118" s="14">
        <f>mgmt!H330</f>
        <v>1.61E-2</v>
      </c>
      <c r="FD118" s="14">
        <f>1.96*mgmt!I330</f>
        <v>8.4279999999999997E-3</v>
      </c>
    </row>
    <row r="119" spans="152:160" x14ac:dyDescent="0.25">
      <c r="EV119" s="7">
        <f>mgmt!$A331</f>
        <v>0.51680000000000004</v>
      </c>
      <c r="EW119" s="14">
        <f>mgmt!B331</f>
        <v>0.66149999999999998</v>
      </c>
      <c r="EX119" s="14">
        <f>1.96*mgmt!C331</f>
        <v>3.7435999999999997E-2</v>
      </c>
      <c r="EY119" s="14">
        <f>mgmt!D331</f>
        <v>0.1643</v>
      </c>
      <c r="EZ119" s="14">
        <f>1.96*mgmt!E331</f>
        <v>3.2143999999999999E-2</v>
      </c>
      <c r="FA119" s="14">
        <f>mgmt!F331</f>
        <v>0.15809999999999999</v>
      </c>
      <c r="FB119" s="14">
        <f>1.96*mgmt!G331</f>
        <v>2.7439999999999999E-2</v>
      </c>
      <c r="FC119" s="14">
        <f>mgmt!H331</f>
        <v>1.61E-2</v>
      </c>
      <c r="FD119" s="14">
        <f>1.96*mgmt!I331</f>
        <v>8.4279999999999997E-3</v>
      </c>
    </row>
    <row r="120" spans="152:160" x14ac:dyDescent="0.25">
      <c r="EV120" s="7">
        <f>mgmt!$A332</f>
        <v>0.52</v>
      </c>
      <c r="EW120" s="14">
        <f>mgmt!B332</f>
        <v>0.66080000000000005</v>
      </c>
      <c r="EX120" s="14">
        <f>1.96*mgmt!C332</f>
        <v>3.7435999999999997E-2</v>
      </c>
      <c r="EY120" s="14">
        <f>mgmt!D332</f>
        <v>0.16470000000000001</v>
      </c>
      <c r="EZ120" s="14">
        <f>1.96*mgmt!E332</f>
        <v>3.2143999999999999E-2</v>
      </c>
      <c r="FA120" s="14">
        <f>mgmt!F332</f>
        <v>0.1585</v>
      </c>
      <c r="FB120" s="14">
        <f>1.96*mgmt!G332</f>
        <v>2.7439999999999999E-2</v>
      </c>
      <c r="FC120" s="14">
        <f>mgmt!H332</f>
        <v>1.6E-2</v>
      </c>
      <c r="FD120" s="14">
        <f>1.96*mgmt!I332</f>
        <v>8.4279999999999997E-3</v>
      </c>
    </row>
    <row r="121" spans="152:160" x14ac:dyDescent="0.25">
      <c r="EV121" s="7">
        <f>mgmt!$A333</f>
        <v>0.5202</v>
      </c>
      <c r="EW121" s="14">
        <f>mgmt!B333</f>
        <v>0.66069999999999995</v>
      </c>
      <c r="EX121" s="14">
        <f>1.96*mgmt!C333</f>
        <v>3.7435999999999997E-2</v>
      </c>
      <c r="EY121" s="14">
        <f>mgmt!D333</f>
        <v>0.16470000000000001</v>
      </c>
      <c r="EZ121" s="14">
        <f>1.96*mgmt!E333</f>
        <v>3.2143999999999999E-2</v>
      </c>
      <c r="FA121" s="14">
        <f>mgmt!F333</f>
        <v>0.15859999999999999</v>
      </c>
      <c r="FB121" s="14">
        <f>1.96*mgmt!G333</f>
        <v>2.7439999999999999E-2</v>
      </c>
      <c r="FC121" s="14">
        <f>mgmt!H333</f>
        <v>1.6E-2</v>
      </c>
      <c r="FD121" s="14">
        <f>1.96*mgmt!I333</f>
        <v>8.4279999999999997E-3</v>
      </c>
    </row>
    <row r="122" spans="152:160" x14ac:dyDescent="0.25">
      <c r="EV122" s="7">
        <f>mgmt!$A334</f>
        <v>0.52339999999999998</v>
      </c>
      <c r="EW122" s="14">
        <f>mgmt!B334</f>
        <v>0.66</v>
      </c>
      <c r="EX122" s="14">
        <f>1.96*mgmt!C334</f>
        <v>3.7435999999999997E-2</v>
      </c>
      <c r="EY122" s="14">
        <f>mgmt!D334</f>
        <v>0.1651</v>
      </c>
      <c r="EZ122" s="14">
        <f>1.96*mgmt!E334</f>
        <v>3.1947999999999997E-2</v>
      </c>
      <c r="FA122" s="14">
        <f>mgmt!F334</f>
        <v>0.159</v>
      </c>
      <c r="FB122" s="14">
        <f>1.96*mgmt!G334</f>
        <v>2.7439999999999999E-2</v>
      </c>
      <c r="FC122" s="14">
        <f>mgmt!H334</f>
        <v>1.5900000000000001E-2</v>
      </c>
      <c r="FD122" s="14">
        <f>1.96*mgmt!I334</f>
        <v>8.4279999999999997E-3</v>
      </c>
    </row>
    <row r="123" spans="152:160" x14ac:dyDescent="0.25">
      <c r="EV123" s="7">
        <f>mgmt!$A335</f>
        <v>0.52659999999999996</v>
      </c>
      <c r="EW123" s="14">
        <f>mgmt!B335</f>
        <v>0.6593</v>
      </c>
      <c r="EX123" s="14">
        <f>1.96*mgmt!C335</f>
        <v>3.7435999999999997E-2</v>
      </c>
      <c r="EY123" s="14">
        <f>mgmt!D335</f>
        <v>0.16550000000000001</v>
      </c>
      <c r="EZ123" s="14">
        <f>1.96*mgmt!E335</f>
        <v>3.1947999999999997E-2</v>
      </c>
      <c r="FA123" s="14">
        <f>mgmt!F335</f>
        <v>0.15939999999999999</v>
      </c>
      <c r="FB123" s="14">
        <f>1.96*mgmt!G335</f>
        <v>2.7439999999999999E-2</v>
      </c>
      <c r="FC123" s="14">
        <f>mgmt!H335</f>
        <v>1.5900000000000001E-2</v>
      </c>
      <c r="FD123" s="14">
        <f>1.96*mgmt!I335</f>
        <v>8.2319999999999997E-3</v>
      </c>
    </row>
    <row r="124" spans="152:160" x14ac:dyDescent="0.25">
      <c r="EV124" s="7">
        <f>mgmt!$A336</f>
        <v>0.52680000000000005</v>
      </c>
      <c r="EW124" s="14">
        <f>mgmt!B336</f>
        <v>0.65920000000000001</v>
      </c>
      <c r="EX124" s="14">
        <f>1.96*mgmt!C336</f>
        <v>3.7435999999999997E-2</v>
      </c>
      <c r="EY124" s="14">
        <f>mgmt!D336</f>
        <v>0.16550000000000001</v>
      </c>
      <c r="EZ124" s="14">
        <f>1.96*mgmt!E336</f>
        <v>3.1947999999999997E-2</v>
      </c>
      <c r="FA124" s="14">
        <f>mgmt!F336</f>
        <v>0.15939999999999999</v>
      </c>
      <c r="FB124" s="14">
        <f>1.96*mgmt!G336</f>
        <v>2.7439999999999999E-2</v>
      </c>
      <c r="FC124" s="14">
        <f>mgmt!H336</f>
        <v>1.5900000000000001E-2</v>
      </c>
      <c r="FD124" s="14">
        <f>1.96*mgmt!I336</f>
        <v>8.2319999999999997E-3</v>
      </c>
    </row>
    <row r="125" spans="152:160" x14ac:dyDescent="0.25">
      <c r="EV125" s="7">
        <f>mgmt!$A337</f>
        <v>0.53</v>
      </c>
      <c r="EW125" s="14">
        <f>mgmt!B337</f>
        <v>0.65849999999999997</v>
      </c>
      <c r="EX125" s="14">
        <f>1.96*mgmt!C337</f>
        <v>3.7435999999999997E-2</v>
      </c>
      <c r="EY125" s="14">
        <f>mgmt!D337</f>
        <v>0.16589999999999999</v>
      </c>
      <c r="EZ125" s="14">
        <f>1.96*mgmt!E337</f>
        <v>3.1947999999999997E-2</v>
      </c>
      <c r="FA125" s="14">
        <f>mgmt!F337</f>
        <v>0.15989999999999999</v>
      </c>
      <c r="FB125" s="14">
        <f>1.96*mgmt!G337</f>
        <v>2.7439999999999999E-2</v>
      </c>
      <c r="FC125" s="14">
        <f>mgmt!H337</f>
        <v>1.5800000000000002E-2</v>
      </c>
      <c r="FD125" s="14">
        <f>1.96*mgmt!I337</f>
        <v>8.2319999999999997E-3</v>
      </c>
    </row>
    <row r="126" spans="152:160" x14ac:dyDescent="0.25">
      <c r="EV126" s="7">
        <f>mgmt!$A338</f>
        <v>0.53320000000000001</v>
      </c>
      <c r="EW126" s="14">
        <f>mgmt!B338</f>
        <v>0.65769999999999995</v>
      </c>
      <c r="EX126" s="14">
        <f>1.96*mgmt!C338</f>
        <v>3.7435999999999997E-2</v>
      </c>
      <c r="EY126" s="14">
        <f>mgmt!D338</f>
        <v>0.16619999999999999</v>
      </c>
      <c r="EZ126" s="14">
        <f>1.96*mgmt!E338</f>
        <v>3.1947999999999997E-2</v>
      </c>
      <c r="FA126" s="14">
        <f>mgmt!F338</f>
        <v>0.1603</v>
      </c>
      <c r="FB126" s="14">
        <f>1.96*mgmt!G338</f>
        <v>2.7439999999999999E-2</v>
      </c>
      <c r="FC126" s="14">
        <f>mgmt!H338</f>
        <v>1.5699999999999999E-2</v>
      </c>
      <c r="FD126" s="14">
        <f>1.96*mgmt!I338</f>
        <v>8.2319999999999997E-3</v>
      </c>
    </row>
    <row r="127" spans="152:160" x14ac:dyDescent="0.25">
      <c r="EV127" s="7">
        <f>mgmt!$A339</f>
        <v>0.53339999999999999</v>
      </c>
      <c r="EW127" s="14">
        <f>mgmt!B339</f>
        <v>0.65769999999999995</v>
      </c>
      <c r="EX127" s="14">
        <f>1.96*mgmt!C339</f>
        <v>3.7435999999999997E-2</v>
      </c>
      <c r="EY127" s="14">
        <f>mgmt!D339</f>
        <v>0.1663</v>
      </c>
      <c r="EZ127" s="14">
        <f>1.96*mgmt!E339</f>
        <v>3.1947999999999997E-2</v>
      </c>
      <c r="FA127" s="14">
        <f>mgmt!F339</f>
        <v>0.1603</v>
      </c>
      <c r="FB127" s="14">
        <f>1.96*mgmt!G339</f>
        <v>2.7439999999999999E-2</v>
      </c>
      <c r="FC127" s="14">
        <f>mgmt!H339</f>
        <v>1.5699999999999999E-2</v>
      </c>
      <c r="FD127" s="14">
        <f>1.96*mgmt!I339</f>
        <v>8.2319999999999997E-3</v>
      </c>
    </row>
    <row r="128" spans="152:160" x14ac:dyDescent="0.25">
      <c r="EV128" s="7">
        <f>mgmt!$A340</f>
        <v>0.53659999999999997</v>
      </c>
      <c r="EW128" s="14">
        <f>mgmt!B340</f>
        <v>0.65700000000000003</v>
      </c>
      <c r="EX128" s="14">
        <f>1.96*mgmt!C340</f>
        <v>3.7435999999999997E-2</v>
      </c>
      <c r="EY128" s="14">
        <f>mgmt!D340</f>
        <v>0.1666</v>
      </c>
      <c r="EZ128" s="14">
        <f>1.96*mgmt!E340</f>
        <v>3.1947999999999997E-2</v>
      </c>
      <c r="FA128" s="14">
        <f>mgmt!F340</f>
        <v>0.1608</v>
      </c>
      <c r="FB128" s="14">
        <f>1.96*mgmt!G340</f>
        <v>2.7635999999999997E-2</v>
      </c>
      <c r="FC128" s="14">
        <f>mgmt!H340</f>
        <v>1.5599999999999999E-2</v>
      </c>
      <c r="FD128" s="14">
        <f>1.96*mgmt!I340</f>
        <v>8.2319999999999997E-3</v>
      </c>
    </row>
    <row r="129" spans="152:160" x14ac:dyDescent="0.25">
      <c r="EV129" s="7">
        <f>mgmt!$A341</f>
        <v>0.54</v>
      </c>
      <c r="EW129" s="14">
        <f>mgmt!B341</f>
        <v>0.65620000000000001</v>
      </c>
      <c r="EX129" s="14">
        <f>1.96*mgmt!C341</f>
        <v>3.7435999999999997E-2</v>
      </c>
      <c r="EY129" s="14">
        <f>mgmt!D341</f>
        <v>0.1671</v>
      </c>
      <c r="EZ129" s="14">
        <f>1.96*mgmt!E341</f>
        <v>3.1947999999999997E-2</v>
      </c>
      <c r="FA129" s="14">
        <f>mgmt!F341</f>
        <v>0.16120000000000001</v>
      </c>
      <c r="FB129" s="14">
        <f>1.96*mgmt!G341</f>
        <v>2.7635999999999997E-2</v>
      </c>
      <c r="FC129" s="14">
        <f>mgmt!H341</f>
        <v>1.55E-2</v>
      </c>
      <c r="FD129" s="14">
        <f>1.96*mgmt!I341</f>
        <v>8.2319999999999997E-3</v>
      </c>
    </row>
    <row r="130" spans="152:160" x14ac:dyDescent="0.25">
      <c r="EV130" s="7">
        <f>mgmt!$A342</f>
        <v>0.54320000000000002</v>
      </c>
      <c r="EW130" s="14">
        <f>mgmt!B342</f>
        <v>0.65539999999999998</v>
      </c>
      <c r="EX130" s="14">
        <f>1.96*mgmt!C342</f>
        <v>3.7435999999999997E-2</v>
      </c>
      <c r="EY130" s="14">
        <f>mgmt!D342</f>
        <v>0.16739999999999999</v>
      </c>
      <c r="EZ130" s="14">
        <f>1.96*mgmt!E342</f>
        <v>3.1947999999999997E-2</v>
      </c>
      <c r="FA130" s="14">
        <f>mgmt!F342</f>
        <v>0.16170000000000001</v>
      </c>
      <c r="FB130" s="14">
        <f>1.96*mgmt!G342</f>
        <v>2.7635999999999997E-2</v>
      </c>
      <c r="FC130" s="14">
        <f>mgmt!H342</f>
        <v>1.55E-2</v>
      </c>
      <c r="FD130" s="14">
        <f>1.96*mgmt!I342</f>
        <v>8.2319999999999997E-3</v>
      </c>
    </row>
    <row r="131" spans="152:160" x14ac:dyDescent="0.25">
      <c r="EV131" s="7">
        <f>mgmt!$A343</f>
        <v>0.54339999999999999</v>
      </c>
      <c r="EW131" s="14">
        <f>mgmt!B343</f>
        <v>0.65539999999999998</v>
      </c>
      <c r="EX131" s="14">
        <f>1.96*mgmt!C343</f>
        <v>3.7435999999999997E-2</v>
      </c>
      <c r="EY131" s="14">
        <f>mgmt!D343</f>
        <v>0.16750000000000001</v>
      </c>
      <c r="EZ131" s="14">
        <f>1.96*mgmt!E343</f>
        <v>3.1947999999999997E-2</v>
      </c>
      <c r="FA131" s="14">
        <f>mgmt!F343</f>
        <v>0.16170000000000001</v>
      </c>
      <c r="FB131" s="14">
        <f>1.96*mgmt!G343</f>
        <v>2.7635999999999997E-2</v>
      </c>
      <c r="FC131" s="14">
        <f>mgmt!H343</f>
        <v>1.54E-2</v>
      </c>
      <c r="FD131" s="14">
        <f>1.96*mgmt!I343</f>
        <v>8.2319999999999997E-3</v>
      </c>
    </row>
    <row r="132" spans="152:160" x14ac:dyDescent="0.25">
      <c r="EV132" s="7">
        <f>mgmt!$A344</f>
        <v>0.54659999999999997</v>
      </c>
      <c r="EW132" s="14">
        <f>mgmt!B344</f>
        <v>0.65469999999999995</v>
      </c>
      <c r="EX132" s="14">
        <f>1.96*mgmt!C344</f>
        <v>3.7435999999999997E-2</v>
      </c>
      <c r="EY132" s="14">
        <f>mgmt!D344</f>
        <v>0.1678</v>
      </c>
      <c r="EZ132" s="14">
        <f>1.96*mgmt!E344</f>
        <v>3.1947999999999997E-2</v>
      </c>
      <c r="FA132" s="14">
        <f>mgmt!F344</f>
        <v>0.16209999999999999</v>
      </c>
      <c r="FB132" s="14">
        <f>1.96*mgmt!G344</f>
        <v>2.7832000000000003E-2</v>
      </c>
      <c r="FC132" s="14">
        <f>mgmt!H344</f>
        <v>1.54E-2</v>
      </c>
      <c r="FD132" s="14">
        <f>1.96*mgmt!I344</f>
        <v>8.2319999999999997E-3</v>
      </c>
    </row>
    <row r="133" spans="152:160" x14ac:dyDescent="0.25">
      <c r="EV133" s="7">
        <f>mgmt!$A345</f>
        <v>0.54679999999999995</v>
      </c>
      <c r="EW133" s="14">
        <f>mgmt!B345</f>
        <v>0.65459999999999996</v>
      </c>
      <c r="EX133" s="14">
        <f>1.96*mgmt!C345</f>
        <v>3.7631999999999999E-2</v>
      </c>
      <c r="EY133" s="14">
        <f>mgmt!D345</f>
        <v>0.16789999999999999</v>
      </c>
      <c r="EZ133" s="14">
        <f>1.96*mgmt!E345</f>
        <v>3.1947999999999997E-2</v>
      </c>
      <c r="FA133" s="14">
        <f>mgmt!F345</f>
        <v>0.16220000000000001</v>
      </c>
      <c r="FB133" s="14">
        <f>1.96*mgmt!G345</f>
        <v>2.7832000000000003E-2</v>
      </c>
      <c r="FC133" s="14">
        <f>mgmt!H345</f>
        <v>1.54E-2</v>
      </c>
      <c r="FD133" s="14">
        <f>1.96*mgmt!I345</f>
        <v>8.2319999999999997E-3</v>
      </c>
    </row>
    <row r="134" spans="152:160" x14ac:dyDescent="0.25">
      <c r="EV134" s="7">
        <f>mgmt!$A346</f>
        <v>0.55000000000000004</v>
      </c>
      <c r="EW134" s="14">
        <f>mgmt!B346</f>
        <v>0.65390000000000004</v>
      </c>
      <c r="EX134" s="14">
        <f>1.96*mgmt!C346</f>
        <v>3.7631999999999999E-2</v>
      </c>
      <c r="EY134" s="14">
        <f>mgmt!D346</f>
        <v>0.16819999999999999</v>
      </c>
      <c r="EZ134" s="14">
        <f>1.96*mgmt!E346</f>
        <v>3.2143999999999999E-2</v>
      </c>
      <c r="FA134" s="14">
        <f>mgmt!F346</f>
        <v>0.16259999999999999</v>
      </c>
      <c r="FB134" s="14">
        <f>1.96*mgmt!G346</f>
        <v>2.7832000000000003E-2</v>
      </c>
      <c r="FC134" s="14">
        <f>mgmt!H346</f>
        <v>1.5299999999999999E-2</v>
      </c>
      <c r="FD134" s="14">
        <f>1.96*mgmt!I346</f>
        <v>8.4279999999999997E-3</v>
      </c>
    </row>
    <row r="135" spans="152:160" x14ac:dyDescent="0.25">
      <c r="EV135" s="7">
        <f>mgmt!$A347</f>
        <v>0.55320000000000003</v>
      </c>
      <c r="EW135" s="14">
        <f>mgmt!B347</f>
        <v>0.65310000000000001</v>
      </c>
      <c r="EX135" s="14">
        <f>1.96*mgmt!C347</f>
        <v>3.7631999999999999E-2</v>
      </c>
      <c r="EY135" s="14">
        <f>mgmt!D347</f>
        <v>0.1686</v>
      </c>
      <c r="EZ135" s="14">
        <f>1.96*mgmt!E347</f>
        <v>3.2143999999999999E-2</v>
      </c>
      <c r="FA135" s="14">
        <f>mgmt!F347</f>
        <v>0.16300000000000001</v>
      </c>
      <c r="FB135" s="14">
        <f>1.96*mgmt!G347</f>
        <v>2.7832000000000003E-2</v>
      </c>
      <c r="FC135" s="14">
        <f>mgmt!H347</f>
        <v>1.52E-2</v>
      </c>
      <c r="FD135" s="14">
        <f>1.96*mgmt!I347</f>
        <v>8.4279999999999997E-3</v>
      </c>
    </row>
    <row r="136" spans="152:160" x14ac:dyDescent="0.25">
      <c r="EV136" s="7">
        <f>mgmt!$A348</f>
        <v>0.56000000000000005</v>
      </c>
      <c r="EW136" s="14">
        <f>mgmt!B348</f>
        <v>0.65159999999999996</v>
      </c>
      <c r="EX136" s="14">
        <f>1.96*mgmt!C348</f>
        <v>3.8024000000000002E-2</v>
      </c>
      <c r="EY136" s="14">
        <f>mgmt!D348</f>
        <v>0.1694</v>
      </c>
      <c r="EZ136" s="14">
        <f>1.96*mgmt!E348</f>
        <v>3.2340000000000001E-2</v>
      </c>
      <c r="FA136" s="14">
        <f>mgmt!F348</f>
        <v>0.16400000000000001</v>
      </c>
      <c r="FB136" s="14">
        <f>1.96*mgmt!G348</f>
        <v>2.8223999999999999E-2</v>
      </c>
      <c r="FC136" s="14">
        <f>mgmt!H348</f>
        <v>1.4999999999999999E-2</v>
      </c>
      <c r="FD136" s="14">
        <f>1.96*mgmt!I348</f>
        <v>8.4279999999999997E-3</v>
      </c>
    </row>
    <row r="137" spans="152:160" x14ac:dyDescent="0.25">
      <c r="EV137" s="7">
        <f>mgmt!$A349</f>
        <v>0.56020000000000003</v>
      </c>
      <c r="EW137" s="14">
        <f>mgmt!B349</f>
        <v>0.65149999999999997</v>
      </c>
      <c r="EX137" s="14">
        <f>1.96*mgmt!C349</f>
        <v>3.8024000000000002E-2</v>
      </c>
      <c r="EY137" s="14">
        <f>mgmt!D349</f>
        <v>0.16950000000000001</v>
      </c>
      <c r="EZ137" s="14">
        <f>1.96*mgmt!E349</f>
        <v>3.2340000000000001E-2</v>
      </c>
      <c r="FA137" s="14">
        <f>mgmt!F349</f>
        <v>0.16400000000000001</v>
      </c>
      <c r="FB137" s="14">
        <f>1.96*mgmt!G349</f>
        <v>2.8223999999999999E-2</v>
      </c>
      <c r="FC137" s="14">
        <f>mgmt!H349</f>
        <v>1.4999999999999999E-2</v>
      </c>
      <c r="FD137" s="14">
        <f>1.96*mgmt!I349</f>
        <v>8.4279999999999997E-3</v>
      </c>
    </row>
    <row r="138" spans="152:160" x14ac:dyDescent="0.25">
      <c r="EV138" s="7">
        <f>mgmt!$A350</f>
        <v>0.56340000000000001</v>
      </c>
      <c r="EW138" s="14">
        <f>mgmt!B350</f>
        <v>0.65080000000000005</v>
      </c>
      <c r="EX138" s="14">
        <f>1.96*mgmt!C350</f>
        <v>3.8024000000000002E-2</v>
      </c>
      <c r="EY138" s="14">
        <f>mgmt!D350</f>
        <v>0.16980000000000001</v>
      </c>
      <c r="EZ138" s="14">
        <f>1.96*mgmt!E350</f>
        <v>3.2536000000000002E-2</v>
      </c>
      <c r="FA138" s="14">
        <f>mgmt!F350</f>
        <v>0.16439999999999999</v>
      </c>
      <c r="FB138" s="14">
        <f>1.96*mgmt!G350</f>
        <v>2.8223999999999999E-2</v>
      </c>
      <c r="FC138" s="14">
        <f>mgmt!H350</f>
        <v>1.4999999999999999E-2</v>
      </c>
      <c r="FD138" s="14">
        <f>1.96*mgmt!I350</f>
        <v>8.4279999999999997E-3</v>
      </c>
    </row>
    <row r="139" spans="152:160" x14ac:dyDescent="0.25">
      <c r="EV139" s="7">
        <f>mgmt!$A351</f>
        <v>0.56659999999999999</v>
      </c>
      <c r="EW139" s="14">
        <f>mgmt!B351</f>
        <v>0.65</v>
      </c>
      <c r="EX139" s="14">
        <f>1.96*mgmt!C351</f>
        <v>3.8219999999999997E-2</v>
      </c>
      <c r="EY139" s="14">
        <f>mgmt!D351</f>
        <v>0.17019999999999999</v>
      </c>
      <c r="EZ139" s="14">
        <f>1.96*mgmt!E351</f>
        <v>3.2536000000000002E-2</v>
      </c>
      <c r="FA139" s="14">
        <f>mgmt!F351</f>
        <v>0.16489999999999999</v>
      </c>
      <c r="FB139" s="14">
        <f>1.96*mgmt!G351</f>
        <v>2.8420000000000001E-2</v>
      </c>
      <c r="FC139" s="14">
        <f>mgmt!H351</f>
        <v>1.49E-2</v>
      </c>
      <c r="FD139" s="14">
        <f>1.96*mgmt!I351</f>
        <v>8.4279999999999997E-3</v>
      </c>
    </row>
    <row r="140" spans="152:160" x14ac:dyDescent="0.25">
      <c r="EV140" s="7">
        <f>mgmt!$A352</f>
        <v>0.56679999999999997</v>
      </c>
      <c r="EW140" s="14">
        <f>mgmt!B352</f>
        <v>0.65</v>
      </c>
      <c r="EX140" s="14">
        <f>1.96*mgmt!C352</f>
        <v>3.8219999999999997E-2</v>
      </c>
      <c r="EY140" s="14">
        <f>mgmt!D352</f>
        <v>0.17019999999999999</v>
      </c>
      <c r="EZ140" s="14">
        <f>1.96*mgmt!E352</f>
        <v>3.2536000000000002E-2</v>
      </c>
      <c r="FA140" s="14">
        <f>mgmt!F352</f>
        <v>0.16489999999999999</v>
      </c>
      <c r="FB140" s="14">
        <f>1.96*mgmt!G352</f>
        <v>2.8420000000000001E-2</v>
      </c>
      <c r="FC140" s="14">
        <f>mgmt!H352</f>
        <v>1.49E-2</v>
      </c>
      <c r="FD140" s="14">
        <f>1.96*mgmt!I352</f>
        <v>8.4279999999999997E-3</v>
      </c>
    </row>
    <row r="141" spans="152:160" x14ac:dyDescent="0.25">
      <c r="EV141" s="7">
        <f>mgmt!$A353</f>
        <v>0.56999999999999995</v>
      </c>
      <c r="EW141" s="14">
        <f>mgmt!B353</f>
        <v>0.6492</v>
      </c>
      <c r="EX141" s="14">
        <f>1.96*mgmt!C353</f>
        <v>3.8415999999999999E-2</v>
      </c>
      <c r="EY141" s="14">
        <f>mgmt!D353</f>
        <v>0.1706</v>
      </c>
      <c r="EZ141" s="14">
        <f>1.96*mgmt!E353</f>
        <v>3.2731999999999997E-2</v>
      </c>
      <c r="FA141" s="14">
        <f>mgmt!F353</f>
        <v>0.1653</v>
      </c>
      <c r="FB141" s="14">
        <f>1.96*mgmt!G353</f>
        <v>2.8420000000000001E-2</v>
      </c>
      <c r="FC141" s="14">
        <f>mgmt!H353</f>
        <v>1.4800000000000001E-2</v>
      </c>
      <c r="FD141" s="14">
        <f>1.96*mgmt!I353</f>
        <v>8.4279999999999997E-3</v>
      </c>
    </row>
    <row r="142" spans="152:160" x14ac:dyDescent="0.25">
      <c r="EV142" s="7">
        <f>mgmt!$A354</f>
        <v>0.57320000000000004</v>
      </c>
      <c r="EW142" s="14">
        <f>mgmt!B354</f>
        <v>0.64849999999999997</v>
      </c>
      <c r="EX142" s="14">
        <f>1.96*mgmt!C354</f>
        <v>3.8611999999999994E-2</v>
      </c>
      <c r="EY142" s="14">
        <f>mgmt!D354</f>
        <v>0.17100000000000001</v>
      </c>
      <c r="EZ142" s="14">
        <f>1.96*mgmt!E354</f>
        <v>3.2927999999999999E-2</v>
      </c>
      <c r="FA142" s="14">
        <f>mgmt!F354</f>
        <v>0.1658</v>
      </c>
      <c r="FB142" s="14">
        <f>1.96*mgmt!G354</f>
        <v>2.8615999999999999E-2</v>
      </c>
      <c r="FC142" s="14">
        <f>mgmt!H354</f>
        <v>1.47E-2</v>
      </c>
      <c r="FD142" s="14">
        <f>1.96*mgmt!I354</f>
        <v>8.6239999999999997E-3</v>
      </c>
    </row>
    <row r="143" spans="152:160" x14ac:dyDescent="0.25">
      <c r="EV143" s="7">
        <f>mgmt!$A355</f>
        <v>0.57340000000000002</v>
      </c>
      <c r="EW143" s="14">
        <f>mgmt!B355</f>
        <v>0.64839999999999998</v>
      </c>
      <c r="EX143" s="14">
        <f>1.96*mgmt!C355</f>
        <v>3.8611999999999994E-2</v>
      </c>
      <c r="EY143" s="14">
        <f>mgmt!D355</f>
        <v>0.17100000000000001</v>
      </c>
      <c r="EZ143" s="14">
        <f>1.96*mgmt!E355</f>
        <v>3.2927999999999999E-2</v>
      </c>
      <c r="FA143" s="14">
        <f>mgmt!F355</f>
        <v>0.1658</v>
      </c>
      <c r="FB143" s="14">
        <f>1.96*mgmt!G355</f>
        <v>2.8615999999999999E-2</v>
      </c>
      <c r="FC143" s="14">
        <f>mgmt!H355</f>
        <v>1.47E-2</v>
      </c>
      <c r="FD143" s="14">
        <f>1.96*mgmt!I355</f>
        <v>8.6239999999999997E-3</v>
      </c>
    </row>
    <row r="144" spans="152:160" x14ac:dyDescent="0.25">
      <c r="EV144" s="7">
        <f>mgmt!$A356</f>
        <v>0.5766</v>
      </c>
      <c r="EW144" s="14">
        <f>mgmt!B356</f>
        <v>0.64770000000000005</v>
      </c>
      <c r="EX144" s="14">
        <f>1.96*mgmt!C356</f>
        <v>3.8808000000000002E-2</v>
      </c>
      <c r="EY144" s="14">
        <f>mgmt!D356</f>
        <v>0.1714</v>
      </c>
      <c r="EZ144" s="14">
        <f>1.96*mgmt!E356</f>
        <v>3.3123999999999994E-2</v>
      </c>
      <c r="FA144" s="14">
        <f>mgmt!F356</f>
        <v>0.1663</v>
      </c>
      <c r="FB144" s="14">
        <f>1.96*mgmt!G356</f>
        <v>2.8811999999999997E-2</v>
      </c>
      <c r="FC144" s="14">
        <f>mgmt!H356</f>
        <v>1.46E-2</v>
      </c>
      <c r="FD144" s="14">
        <f>1.96*mgmt!I356</f>
        <v>8.6239999999999997E-3</v>
      </c>
    </row>
    <row r="145" spans="152:160" x14ac:dyDescent="0.25">
      <c r="EV145" s="7">
        <f>mgmt!$A357</f>
        <v>0.57679999999999998</v>
      </c>
      <c r="EW145" s="14">
        <f>mgmt!B357</f>
        <v>0.64759999999999995</v>
      </c>
      <c r="EX145" s="14">
        <f>1.96*mgmt!C357</f>
        <v>3.8808000000000002E-2</v>
      </c>
      <c r="EY145" s="14">
        <f>mgmt!D357</f>
        <v>0.1714</v>
      </c>
      <c r="EZ145" s="14">
        <f>1.96*mgmt!E357</f>
        <v>3.3123999999999994E-2</v>
      </c>
      <c r="FA145" s="14">
        <f>mgmt!F357</f>
        <v>0.1663</v>
      </c>
      <c r="FB145" s="14">
        <f>1.96*mgmt!G357</f>
        <v>2.8811999999999997E-2</v>
      </c>
      <c r="FC145" s="14">
        <f>mgmt!H357</f>
        <v>1.46E-2</v>
      </c>
      <c r="FD145" s="14">
        <f>1.96*mgmt!I357</f>
        <v>8.6239999999999997E-3</v>
      </c>
    </row>
    <row r="146" spans="152:160" x14ac:dyDescent="0.25">
      <c r="EV146" s="7">
        <f>mgmt!$A358</f>
        <v>0.57999999999999996</v>
      </c>
      <c r="EW146" s="14">
        <f>mgmt!B358</f>
        <v>0.64690000000000003</v>
      </c>
      <c r="EX146" s="14">
        <f>1.96*mgmt!C358</f>
        <v>3.9004000000000004E-2</v>
      </c>
      <c r="EY146" s="14">
        <f>mgmt!D358</f>
        <v>0.17180000000000001</v>
      </c>
      <c r="EZ146" s="14">
        <f>1.96*mgmt!E358</f>
        <v>3.3320000000000002E-2</v>
      </c>
      <c r="FA146" s="14">
        <f>mgmt!F358</f>
        <v>0.16669999999999999</v>
      </c>
      <c r="FB146" s="14">
        <f>1.96*mgmt!G358</f>
        <v>2.8811999999999997E-2</v>
      </c>
      <c r="FC146" s="14">
        <f>mgmt!H358</f>
        <v>1.46E-2</v>
      </c>
      <c r="FD146" s="14">
        <f>1.96*mgmt!I358</f>
        <v>8.6239999999999997E-3</v>
      </c>
    </row>
    <row r="147" spans="152:160" x14ac:dyDescent="0.25">
      <c r="EV147" s="7">
        <f>mgmt!$A359</f>
        <v>0.58020000000000005</v>
      </c>
      <c r="EW147" s="14">
        <f>mgmt!B359</f>
        <v>0.64680000000000004</v>
      </c>
      <c r="EX147" s="14">
        <f>1.96*mgmt!C359</f>
        <v>3.9004000000000004E-2</v>
      </c>
      <c r="EY147" s="14">
        <f>mgmt!D359</f>
        <v>0.17180000000000001</v>
      </c>
      <c r="EZ147" s="14">
        <f>1.96*mgmt!E359</f>
        <v>3.3320000000000002E-2</v>
      </c>
      <c r="FA147" s="14">
        <f>mgmt!F359</f>
        <v>0.1668</v>
      </c>
      <c r="FB147" s="14">
        <f>1.96*mgmt!G359</f>
        <v>2.8811999999999997E-2</v>
      </c>
      <c r="FC147" s="14">
        <f>mgmt!H359</f>
        <v>1.46E-2</v>
      </c>
      <c r="FD147" s="14">
        <f>1.96*mgmt!I359</f>
        <v>8.6239999999999997E-3</v>
      </c>
    </row>
    <row r="148" spans="152:160" x14ac:dyDescent="0.25">
      <c r="EV148" s="7">
        <f>mgmt!$A360</f>
        <v>0.58320000000000005</v>
      </c>
      <c r="EW148" s="14">
        <f>mgmt!B360</f>
        <v>0.64610000000000001</v>
      </c>
      <c r="EX148" s="14">
        <f>1.96*mgmt!C360</f>
        <v>3.9396E-2</v>
      </c>
      <c r="EY148" s="14">
        <f>mgmt!D360</f>
        <v>0.17219999999999999</v>
      </c>
      <c r="EZ148" s="14">
        <f>1.96*mgmt!E360</f>
        <v>3.3711999999999999E-2</v>
      </c>
      <c r="FA148" s="14">
        <f>mgmt!F360</f>
        <v>0.16719999999999999</v>
      </c>
      <c r="FB148" s="14">
        <f>1.96*mgmt!G360</f>
        <v>2.9007999999999999E-2</v>
      </c>
      <c r="FC148" s="14">
        <f>mgmt!H360</f>
        <v>1.4500000000000001E-2</v>
      </c>
      <c r="FD148" s="14">
        <f>1.96*mgmt!I360</f>
        <v>8.6239999999999997E-3</v>
      </c>
    </row>
    <row r="149" spans="152:160" x14ac:dyDescent="0.25">
      <c r="EV149" s="7">
        <f>mgmt!$A361</f>
        <v>0.58340000000000003</v>
      </c>
      <c r="EW149" s="14">
        <f>mgmt!B361</f>
        <v>0.64610000000000001</v>
      </c>
      <c r="EX149" s="14">
        <f>1.96*mgmt!C361</f>
        <v>3.9396E-2</v>
      </c>
      <c r="EY149" s="14">
        <f>mgmt!D361</f>
        <v>0.17219999999999999</v>
      </c>
      <c r="EZ149" s="14">
        <f>1.96*mgmt!E361</f>
        <v>3.3711999999999999E-2</v>
      </c>
      <c r="FA149" s="14">
        <f>mgmt!F361</f>
        <v>0.16719999999999999</v>
      </c>
      <c r="FB149" s="14">
        <f>1.96*mgmt!G361</f>
        <v>2.9007999999999999E-2</v>
      </c>
      <c r="FC149" s="14">
        <f>mgmt!H361</f>
        <v>1.4500000000000001E-2</v>
      </c>
      <c r="FD149" s="14">
        <f>1.96*mgmt!I361</f>
        <v>8.6239999999999997E-3</v>
      </c>
    </row>
    <row r="150" spans="152:160" x14ac:dyDescent="0.25">
      <c r="EV150" s="7">
        <f>mgmt!$A362</f>
        <v>0.58660000000000001</v>
      </c>
      <c r="EW150" s="14">
        <f>mgmt!B362</f>
        <v>0.64529999999999998</v>
      </c>
      <c r="EX150" s="14">
        <f>1.96*mgmt!C362</f>
        <v>3.9591999999999995E-2</v>
      </c>
      <c r="EY150" s="14">
        <f>mgmt!D362</f>
        <v>0.1726</v>
      </c>
      <c r="EZ150" s="14">
        <f>1.96*mgmt!E362</f>
        <v>3.3908000000000001E-2</v>
      </c>
      <c r="FA150" s="14">
        <f>mgmt!F362</f>
        <v>0.1676</v>
      </c>
      <c r="FB150" s="14">
        <f>1.96*mgmt!G362</f>
        <v>2.9204000000000001E-2</v>
      </c>
      <c r="FC150" s="14">
        <f>mgmt!H362</f>
        <v>1.44E-2</v>
      </c>
      <c r="FD150" s="14">
        <f>1.96*mgmt!I362</f>
        <v>8.6239999999999997E-3</v>
      </c>
    </row>
    <row r="151" spans="152:160" x14ac:dyDescent="0.25">
      <c r="EV151" s="7">
        <f>mgmt!$A363</f>
        <v>0.58679999999999999</v>
      </c>
      <c r="EW151" s="14">
        <f>mgmt!B363</f>
        <v>0.64529999999999998</v>
      </c>
      <c r="EX151" s="14">
        <f>1.96*mgmt!C363</f>
        <v>3.9591999999999995E-2</v>
      </c>
      <c r="EY151" s="14">
        <f>mgmt!D363</f>
        <v>0.1726</v>
      </c>
      <c r="EZ151" s="14">
        <f>1.96*mgmt!E363</f>
        <v>3.3908000000000001E-2</v>
      </c>
      <c r="FA151" s="14">
        <f>mgmt!F363</f>
        <v>0.16769999999999999</v>
      </c>
      <c r="FB151" s="14">
        <f>1.96*mgmt!G363</f>
        <v>2.9204000000000001E-2</v>
      </c>
      <c r="FC151" s="14">
        <f>mgmt!H363</f>
        <v>1.44E-2</v>
      </c>
      <c r="FD151" s="14">
        <f>1.96*mgmt!I363</f>
        <v>8.6239999999999997E-3</v>
      </c>
    </row>
    <row r="152" spans="152:160" x14ac:dyDescent="0.25">
      <c r="EV152" s="7">
        <f>mgmt!$A364</f>
        <v>0.59319999999999995</v>
      </c>
      <c r="EW152" s="14">
        <f>mgmt!B364</f>
        <v>0.64380000000000004</v>
      </c>
      <c r="EX152" s="14">
        <f>1.96*mgmt!C364</f>
        <v>4.018E-2</v>
      </c>
      <c r="EY152" s="14">
        <f>mgmt!D364</f>
        <v>0.1734</v>
      </c>
      <c r="EZ152" s="14">
        <f>1.96*mgmt!E364</f>
        <v>3.4495999999999999E-2</v>
      </c>
      <c r="FA152" s="14">
        <f>mgmt!F364</f>
        <v>0.1686</v>
      </c>
      <c r="FB152" s="14">
        <f>1.96*mgmt!G364</f>
        <v>2.9596000000000001E-2</v>
      </c>
      <c r="FC152" s="14">
        <f>mgmt!H364</f>
        <v>1.43E-2</v>
      </c>
      <c r="FD152" s="14">
        <f>1.96*mgmt!I364</f>
        <v>8.8199999999999997E-3</v>
      </c>
    </row>
    <row r="153" spans="152:160" x14ac:dyDescent="0.25">
      <c r="EV153" s="7">
        <f>mgmt!$A365</f>
        <v>0.59340000000000004</v>
      </c>
      <c r="EW153" s="14">
        <f>mgmt!B365</f>
        <v>0.64370000000000005</v>
      </c>
      <c r="EX153" s="14">
        <f>1.96*mgmt!C365</f>
        <v>4.018E-2</v>
      </c>
      <c r="EY153" s="14">
        <f>mgmt!D365</f>
        <v>0.1734</v>
      </c>
      <c r="EZ153" s="14">
        <f>1.96*mgmt!E365</f>
        <v>3.4495999999999999E-2</v>
      </c>
      <c r="FA153" s="14">
        <f>mgmt!F365</f>
        <v>0.1686</v>
      </c>
      <c r="FB153" s="14">
        <f>1.96*mgmt!G365</f>
        <v>2.9596000000000001E-2</v>
      </c>
      <c r="FC153" s="14">
        <f>mgmt!H365</f>
        <v>1.43E-2</v>
      </c>
      <c r="FD153" s="14">
        <f>1.96*mgmt!I365</f>
        <v>8.8199999999999997E-3</v>
      </c>
    </row>
    <row r="154" spans="152:160" x14ac:dyDescent="0.25">
      <c r="EV154" s="7">
        <f>mgmt!$A366</f>
        <v>0.59660000000000002</v>
      </c>
      <c r="EW154" s="14">
        <f>mgmt!B366</f>
        <v>0.64300000000000002</v>
      </c>
      <c r="EX154" s="14">
        <f>1.96*mgmt!C366</f>
        <v>4.0376000000000002E-2</v>
      </c>
      <c r="EY154" s="14">
        <f>mgmt!D366</f>
        <v>0.17380000000000001</v>
      </c>
      <c r="EZ154" s="14">
        <f>1.96*mgmt!E366</f>
        <v>3.4692000000000001E-2</v>
      </c>
      <c r="FA154" s="14">
        <f>mgmt!F366</f>
        <v>0.16900000000000001</v>
      </c>
      <c r="FB154" s="14">
        <f>1.96*mgmt!G366</f>
        <v>2.9791999999999999E-2</v>
      </c>
      <c r="FC154" s="14">
        <f>mgmt!H366</f>
        <v>1.4200000000000001E-2</v>
      </c>
      <c r="FD154" s="14">
        <f>1.96*mgmt!I366</f>
        <v>8.8199999999999997E-3</v>
      </c>
    </row>
    <row r="155" spans="152:160" x14ac:dyDescent="0.25">
      <c r="EV155" s="7">
        <f>mgmt!$A367</f>
        <v>0.5968</v>
      </c>
      <c r="EW155" s="14">
        <f>mgmt!B367</f>
        <v>0.64290000000000003</v>
      </c>
      <c r="EX155" s="14">
        <f>1.96*mgmt!C367</f>
        <v>4.0376000000000002E-2</v>
      </c>
      <c r="EY155" s="14">
        <f>mgmt!D367</f>
        <v>0.17380000000000001</v>
      </c>
      <c r="EZ155" s="14">
        <f>1.96*mgmt!E367</f>
        <v>3.4692000000000001E-2</v>
      </c>
      <c r="FA155" s="14">
        <f>mgmt!F367</f>
        <v>0.1691</v>
      </c>
      <c r="FB155" s="14">
        <f>1.96*mgmt!G367</f>
        <v>2.9791999999999999E-2</v>
      </c>
      <c r="FC155" s="14">
        <f>mgmt!H367</f>
        <v>1.4200000000000001E-2</v>
      </c>
      <c r="FD155" s="14">
        <f>1.96*mgmt!I367</f>
        <v>8.8199999999999997E-3</v>
      </c>
    </row>
    <row r="156" spans="152:160" x14ac:dyDescent="0.25">
      <c r="EV156" s="7">
        <f>mgmt!$A368</f>
        <v>0.5998</v>
      </c>
      <c r="EW156" s="14">
        <f>mgmt!B368</f>
        <v>0.64219999999999999</v>
      </c>
      <c r="EX156" s="14">
        <f>1.96*mgmt!C368</f>
        <v>4.0767999999999999E-2</v>
      </c>
      <c r="EY156" s="14">
        <f>mgmt!D368</f>
        <v>0.17419999999999999</v>
      </c>
      <c r="EZ156" s="14">
        <f>1.96*mgmt!E368</f>
        <v>3.5083999999999997E-2</v>
      </c>
      <c r="FA156" s="14">
        <f>mgmt!F368</f>
        <v>0.16950000000000001</v>
      </c>
      <c r="FB156" s="14">
        <f>1.96*mgmt!G368</f>
        <v>2.9987999999999997E-2</v>
      </c>
      <c r="FC156" s="14">
        <f>mgmt!H368</f>
        <v>1.41E-2</v>
      </c>
      <c r="FD156" s="14">
        <f>1.96*mgmt!I368</f>
        <v>9.0159999999999997E-3</v>
      </c>
    </row>
    <row r="157" spans="152:160" x14ac:dyDescent="0.25">
      <c r="EV157" s="7">
        <f>mgmt!$A369</f>
        <v>0.6</v>
      </c>
      <c r="EW157" s="14">
        <f>mgmt!B369</f>
        <v>0.64219999999999999</v>
      </c>
      <c r="EX157" s="14">
        <f>1.96*mgmt!C369</f>
        <v>4.0767999999999999E-2</v>
      </c>
      <c r="EY157" s="14">
        <f>mgmt!D369</f>
        <v>0.17419999999999999</v>
      </c>
      <c r="EZ157" s="14">
        <f>1.96*mgmt!E369</f>
        <v>3.5083999999999997E-2</v>
      </c>
      <c r="FA157" s="14">
        <f>mgmt!F369</f>
        <v>0.16950000000000001</v>
      </c>
      <c r="FB157" s="14">
        <f>1.96*mgmt!G369</f>
        <v>2.9987999999999997E-2</v>
      </c>
      <c r="FC157" s="14">
        <f>mgmt!H369</f>
        <v>1.41E-2</v>
      </c>
      <c r="FD157" s="14">
        <f>1.96*mgmt!I369</f>
        <v>9.0159999999999997E-3</v>
      </c>
    </row>
    <row r="158" spans="152:160" x14ac:dyDescent="0.25">
      <c r="EV158" s="7">
        <f>mgmt!$A370</f>
        <v>0.60019999999999996</v>
      </c>
      <c r="EW158" s="14">
        <f>mgmt!B370</f>
        <v>0.6421</v>
      </c>
      <c r="EX158" s="14">
        <f>1.96*mgmt!C370</f>
        <v>4.0767999999999999E-2</v>
      </c>
      <c r="EY158" s="14">
        <f>mgmt!D370</f>
        <v>0.17419999999999999</v>
      </c>
      <c r="EZ158" s="14">
        <f>1.96*mgmt!E370</f>
        <v>3.5083999999999997E-2</v>
      </c>
      <c r="FA158" s="14">
        <f>mgmt!F370</f>
        <v>0.16950000000000001</v>
      </c>
      <c r="FB158" s="14">
        <f>1.96*mgmt!G370</f>
        <v>2.9987999999999997E-2</v>
      </c>
      <c r="FC158" s="14">
        <f>mgmt!H370</f>
        <v>1.41E-2</v>
      </c>
      <c r="FD158" s="14">
        <f>1.96*mgmt!I370</f>
        <v>9.0159999999999997E-3</v>
      </c>
    </row>
    <row r="159" spans="152:160" x14ac:dyDescent="0.25">
      <c r="EV159" s="7">
        <f>mgmt!$A371</f>
        <v>0.60319999999999996</v>
      </c>
      <c r="EW159" s="14">
        <f>mgmt!B371</f>
        <v>0.64139999999999997</v>
      </c>
      <c r="EX159" s="14">
        <f>1.96*mgmt!C371</f>
        <v>4.0963999999999993E-2</v>
      </c>
      <c r="EY159" s="14">
        <f>mgmt!D371</f>
        <v>0.17460000000000001</v>
      </c>
      <c r="EZ159" s="14">
        <f>1.96*mgmt!E371</f>
        <v>3.5476000000000001E-2</v>
      </c>
      <c r="FA159" s="14">
        <f>mgmt!F371</f>
        <v>0.17</v>
      </c>
      <c r="FB159" s="14">
        <f>1.96*mgmt!G371</f>
        <v>3.0183999999999999E-2</v>
      </c>
      <c r="FC159" s="14">
        <f>mgmt!H371</f>
        <v>1.4E-2</v>
      </c>
      <c r="FD159" s="14">
        <f>1.96*mgmt!I371</f>
        <v>9.0159999999999997E-3</v>
      </c>
    </row>
    <row r="160" spans="152:160" x14ac:dyDescent="0.25">
      <c r="EV160" s="7">
        <f>mgmt!$A372</f>
        <v>0.60340000000000005</v>
      </c>
      <c r="EW160" s="14">
        <f>mgmt!B372</f>
        <v>0.64139999999999997</v>
      </c>
      <c r="EX160" s="14">
        <f>1.96*mgmt!C372</f>
        <v>4.1160000000000002E-2</v>
      </c>
      <c r="EY160" s="14">
        <f>mgmt!D372</f>
        <v>0.17460000000000001</v>
      </c>
      <c r="EZ160" s="14">
        <f>1.96*mgmt!E372</f>
        <v>3.5476000000000001E-2</v>
      </c>
      <c r="FA160" s="14">
        <f>mgmt!F372</f>
        <v>0.17</v>
      </c>
      <c r="FB160" s="14">
        <f>1.96*mgmt!G372</f>
        <v>3.0183999999999999E-2</v>
      </c>
      <c r="FC160" s="14">
        <f>mgmt!H372</f>
        <v>1.4E-2</v>
      </c>
      <c r="FD160" s="14">
        <f>1.96*mgmt!I372</f>
        <v>9.0159999999999997E-3</v>
      </c>
    </row>
    <row r="161" spans="152:160" x14ac:dyDescent="0.25">
      <c r="EV161" s="7">
        <f>mgmt!$A373</f>
        <v>0.60680000000000001</v>
      </c>
      <c r="EW161" s="14">
        <f>mgmt!B373</f>
        <v>0.64049999999999996</v>
      </c>
      <c r="EX161" s="14">
        <f>1.96*mgmt!C373</f>
        <v>4.1356000000000004E-2</v>
      </c>
      <c r="EY161" s="14">
        <f>mgmt!D373</f>
        <v>0.17499999999999999</v>
      </c>
      <c r="EZ161" s="14">
        <f>1.96*mgmt!E373</f>
        <v>3.5672000000000002E-2</v>
      </c>
      <c r="FA161" s="14">
        <f>mgmt!F373</f>
        <v>0.17050000000000001</v>
      </c>
      <c r="FB161" s="14">
        <f>1.96*mgmt!G373</f>
        <v>3.0380000000000001E-2</v>
      </c>
      <c r="FC161" s="14">
        <f>mgmt!H373</f>
        <v>1.3899999999999999E-2</v>
      </c>
      <c r="FD161" s="14">
        <f>1.96*mgmt!I373</f>
        <v>9.0159999999999997E-3</v>
      </c>
    </row>
    <row r="162" spans="152:160" x14ac:dyDescent="0.25">
      <c r="EV162" s="7">
        <f>mgmt!$A374</f>
        <v>0.61</v>
      </c>
      <c r="EW162" s="14">
        <f>mgmt!B374</f>
        <v>0.63980000000000004</v>
      </c>
      <c r="EX162" s="14">
        <f>1.96*mgmt!C374</f>
        <v>4.1748E-2</v>
      </c>
      <c r="EY162" s="14">
        <f>mgmt!D374</f>
        <v>0.1754</v>
      </c>
      <c r="EZ162" s="14">
        <f>1.96*mgmt!E374</f>
        <v>3.6063999999999999E-2</v>
      </c>
      <c r="FA162" s="14">
        <f>mgmt!F374</f>
        <v>0.1709</v>
      </c>
      <c r="FB162" s="14">
        <f>1.96*mgmt!G374</f>
        <v>3.0575999999999999E-2</v>
      </c>
      <c r="FC162" s="14">
        <f>mgmt!H374</f>
        <v>1.3899999999999999E-2</v>
      </c>
      <c r="FD162" s="14">
        <f>1.96*mgmt!I374</f>
        <v>9.0159999999999997E-3</v>
      </c>
    </row>
    <row r="163" spans="152:160" x14ac:dyDescent="0.25">
      <c r="EV163" s="7">
        <f>mgmt!$A375</f>
        <v>0.61019999999999996</v>
      </c>
      <c r="EW163" s="14">
        <f>mgmt!B375</f>
        <v>0.63970000000000005</v>
      </c>
      <c r="EX163" s="14">
        <f>1.96*mgmt!C375</f>
        <v>4.1748E-2</v>
      </c>
      <c r="EY163" s="14">
        <f>mgmt!D375</f>
        <v>0.1754</v>
      </c>
      <c r="EZ163" s="14">
        <f>1.96*mgmt!E375</f>
        <v>3.6063999999999999E-2</v>
      </c>
      <c r="FA163" s="14">
        <f>mgmt!F375</f>
        <v>0.1709</v>
      </c>
      <c r="FB163" s="14">
        <f>1.96*mgmt!G375</f>
        <v>3.0575999999999999E-2</v>
      </c>
      <c r="FC163" s="14">
        <f>mgmt!H375</f>
        <v>1.3899999999999999E-2</v>
      </c>
      <c r="FD163" s="14">
        <f>1.96*mgmt!I375</f>
        <v>9.0159999999999997E-3</v>
      </c>
    </row>
    <row r="164" spans="152:160" x14ac:dyDescent="0.25">
      <c r="EV164" s="7">
        <f>mgmt!$A376</f>
        <v>0.61319999999999997</v>
      </c>
      <c r="EW164" s="14">
        <f>mgmt!B376</f>
        <v>0.63900000000000001</v>
      </c>
      <c r="EX164" s="14">
        <f>1.96*mgmt!C376</f>
        <v>4.2139999999999997E-2</v>
      </c>
      <c r="EY164" s="14">
        <f>mgmt!D376</f>
        <v>0.17580000000000001</v>
      </c>
      <c r="EZ164" s="14">
        <f>1.96*mgmt!E376</f>
        <v>3.6455999999999995E-2</v>
      </c>
      <c r="FA164" s="14">
        <f>mgmt!F376</f>
        <v>0.1714</v>
      </c>
      <c r="FB164" s="14">
        <f>1.96*mgmt!G376</f>
        <v>3.0771999999999997E-2</v>
      </c>
      <c r="FC164" s="14">
        <f>mgmt!H376</f>
        <v>1.38E-2</v>
      </c>
      <c r="FD164" s="14">
        <f>1.96*mgmt!I376</f>
        <v>9.2119999999999997E-3</v>
      </c>
    </row>
    <row r="165" spans="152:160" x14ac:dyDescent="0.25">
      <c r="EV165" s="7">
        <f>mgmt!$A377</f>
        <v>0.61339999999999995</v>
      </c>
      <c r="EW165" s="14">
        <f>mgmt!B377</f>
        <v>0.63900000000000001</v>
      </c>
      <c r="EX165" s="14">
        <f>1.96*mgmt!C377</f>
        <v>4.2139999999999997E-2</v>
      </c>
      <c r="EY165" s="14">
        <f>mgmt!D377</f>
        <v>0.17580000000000001</v>
      </c>
      <c r="EZ165" s="14">
        <f>1.96*mgmt!E377</f>
        <v>3.6455999999999995E-2</v>
      </c>
      <c r="FA165" s="14">
        <f>mgmt!F377</f>
        <v>0.1714</v>
      </c>
      <c r="FB165" s="14">
        <f>1.96*mgmt!G377</f>
        <v>3.0771999999999997E-2</v>
      </c>
      <c r="FC165" s="14">
        <f>mgmt!H377</f>
        <v>1.38E-2</v>
      </c>
      <c r="FD165" s="14">
        <f>1.96*mgmt!I377</f>
        <v>9.2119999999999997E-3</v>
      </c>
    </row>
    <row r="166" spans="152:160" x14ac:dyDescent="0.25">
      <c r="EV166" s="7">
        <f>mgmt!$A378</f>
        <v>0.61660000000000004</v>
      </c>
      <c r="EW166" s="14">
        <f>mgmt!B378</f>
        <v>0.63819999999999999</v>
      </c>
      <c r="EX166" s="14">
        <f>1.96*mgmt!C378</f>
        <v>4.2532E-2</v>
      </c>
      <c r="EY166" s="14">
        <f>mgmt!D378</f>
        <v>0.1762</v>
      </c>
      <c r="EZ166" s="14">
        <f>1.96*mgmt!E378</f>
        <v>3.6847999999999999E-2</v>
      </c>
      <c r="FA166" s="14">
        <f>mgmt!F378</f>
        <v>0.17180000000000001</v>
      </c>
      <c r="FB166" s="14">
        <f>1.96*mgmt!G378</f>
        <v>3.0968000000000002E-2</v>
      </c>
      <c r="FC166" s="14">
        <f>mgmt!H378</f>
        <v>1.37E-2</v>
      </c>
      <c r="FD166" s="14">
        <f>1.96*mgmt!I378</f>
        <v>9.2119999999999997E-3</v>
      </c>
    </row>
    <row r="167" spans="152:160" x14ac:dyDescent="0.25">
      <c r="EV167" s="7">
        <f>mgmt!$A379</f>
        <v>0.61680000000000001</v>
      </c>
      <c r="EW167" s="14">
        <f>mgmt!B379</f>
        <v>0.63819999999999999</v>
      </c>
      <c r="EX167" s="14">
        <f>1.96*mgmt!C379</f>
        <v>4.2532E-2</v>
      </c>
      <c r="EY167" s="14">
        <f>mgmt!D379</f>
        <v>0.1762</v>
      </c>
      <c r="EZ167" s="14">
        <f>1.96*mgmt!E379</f>
        <v>3.6847999999999999E-2</v>
      </c>
      <c r="FA167" s="14">
        <f>mgmt!F379</f>
        <v>0.1719</v>
      </c>
      <c r="FB167" s="14">
        <f>1.96*mgmt!G379</f>
        <v>3.0968000000000002E-2</v>
      </c>
      <c r="FC167" s="14">
        <f>mgmt!H379</f>
        <v>1.37E-2</v>
      </c>
      <c r="FD167" s="14">
        <f>1.96*mgmt!I379</f>
        <v>9.2119999999999997E-3</v>
      </c>
    </row>
    <row r="168" spans="152:160" x14ac:dyDescent="0.25">
      <c r="EV168" s="7">
        <f>mgmt!$A380</f>
        <v>0.62</v>
      </c>
      <c r="EW168" s="14">
        <f>mgmt!B380</f>
        <v>0.63739999999999997</v>
      </c>
      <c r="EX168" s="14">
        <f>1.96*mgmt!C380</f>
        <v>4.2923999999999997E-2</v>
      </c>
      <c r="EY168" s="14">
        <f>mgmt!D380</f>
        <v>0.17660000000000001</v>
      </c>
      <c r="EZ168" s="14">
        <f>1.96*mgmt!E380</f>
        <v>3.7239999999999995E-2</v>
      </c>
      <c r="FA168" s="14">
        <f>mgmt!F380</f>
        <v>0.17230000000000001</v>
      </c>
      <c r="FB168" s="14">
        <f>1.96*mgmt!G380</f>
        <v>3.1164000000000001E-2</v>
      </c>
      <c r="FC168" s="14">
        <f>mgmt!H380</f>
        <v>1.37E-2</v>
      </c>
      <c r="FD168" s="14">
        <f>1.96*mgmt!I380</f>
        <v>9.2119999999999997E-3</v>
      </c>
    </row>
    <row r="169" spans="152:160" x14ac:dyDescent="0.25">
      <c r="EV169" s="7">
        <f>mgmt!$A381</f>
        <v>0.62019999999999997</v>
      </c>
      <c r="EW169" s="14">
        <f>mgmt!B381</f>
        <v>0.63729999999999998</v>
      </c>
      <c r="EX169" s="14">
        <f>1.96*mgmt!C381</f>
        <v>4.2923999999999997E-2</v>
      </c>
      <c r="EY169" s="14">
        <f>mgmt!D381</f>
        <v>0.1767</v>
      </c>
      <c r="EZ169" s="14">
        <f>1.96*mgmt!E381</f>
        <v>3.7239999999999995E-2</v>
      </c>
      <c r="FA169" s="14">
        <f>mgmt!F381</f>
        <v>0.1724</v>
      </c>
      <c r="FB169" s="14">
        <f>1.96*mgmt!G381</f>
        <v>3.1164000000000001E-2</v>
      </c>
      <c r="FC169" s="14">
        <f>mgmt!H381</f>
        <v>1.3599999999999999E-2</v>
      </c>
      <c r="FD169" s="14">
        <f>1.96*mgmt!I381</f>
        <v>9.2119999999999997E-3</v>
      </c>
    </row>
    <row r="170" spans="152:160" x14ac:dyDescent="0.25">
      <c r="EV170" s="7">
        <f>mgmt!$A382</f>
        <v>0.62339999999999995</v>
      </c>
      <c r="EW170" s="14">
        <f>mgmt!B382</f>
        <v>0.63660000000000005</v>
      </c>
      <c r="EX170" s="14">
        <f>1.96*mgmt!C382</f>
        <v>4.3316E-2</v>
      </c>
      <c r="EY170" s="14">
        <f>mgmt!D382</f>
        <v>0.17699999999999999</v>
      </c>
      <c r="EZ170" s="14">
        <f>1.96*mgmt!E382</f>
        <v>3.7828000000000001E-2</v>
      </c>
      <c r="FA170" s="14">
        <f>mgmt!F382</f>
        <v>0.17280000000000001</v>
      </c>
      <c r="FB170" s="14">
        <f>1.96*mgmt!G382</f>
        <v>3.1359999999999999E-2</v>
      </c>
      <c r="FC170" s="14">
        <f>mgmt!H382</f>
        <v>1.3599999999999999E-2</v>
      </c>
      <c r="FD170" s="14">
        <f>1.96*mgmt!I382</f>
        <v>9.4079999999999997E-3</v>
      </c>
    </row>
    <row r="171" spans="152:160" x14ac:dyDescent="0.25">
      <c r="EV171" s="7">
        <f>mgmt!$A383</f>
        <v>0.62660000000000005</v>
      </c>
      <c r="EW171" s="14">
        <f>mgmt!B383</f>
        <v>0.63580000000000003</v>
      </c>
      <c r="EX171" s="14">
        <f>1.96*mgmt!C383</f>
        <v>4.3707999999999997E-2</v>
      </c>
      <c r="EY171" s="14">
        <f>mgmt!D383</f>
        <v>0.1774</v>
      </c>
      <c r="EZ171" s="14">
        <f>1.96*mgmt!E383</f>
        <v>3.8219999999999997E-2</v>
      </c>
      <c r="FA171" s="14">
        <f>mgmt!F383</f>
        <v>0.17330000000000001</v>
      </c>
      <c r="FB171" s="14">
        <f>1.96*mgmt!G383</f>
        <v>3.1751999999999996E-2</v>
      </c>
      <c r="FC171" s="14">
        <f>mgmt!H383</f>
        <v>1.35E-2</v>
      </c>
      <c r="FD171" s="14">
        <f>1.96*mgmt!I383</f>
        <v>9.4079999999999997E-3</v>
      </c>
    </row>
    <row r="172" spans="152:160" x14ac:dyDescent="0.25">
      <c r="EV172" s="7">
        <f>mgmt!$A384</f>
        <v>0.62680000000000002</v>
      </c>
      <c r="EW172" s="14">
        <f>mgmt!B384</f>
        <v>0.63580000000000003</v>
      </c>
      <c r="EX172" s="14">
        <f>1.96*mgmt!C384</f>
        <v>4.3707999999999997E-2</v>
      </c>
      <c r="EY172" s="14">
        <f>mgmt!D384</f>
        <v>0.1774</v>
      </c>
      <c r="EZ172" s="14">
        <f>1.96*mgmt!E384</f>
        <v>3.8219999999999997E-2</v>
      </c>
      <c r="FA172" s="14">
        <f>mgmt!F384</f>
        <v>0.17330000000000001</v>
      </c>
      <c r="FB172" s="14">
        <f>1.96*mgmt!G384</f>
        <v>3.1751999999999996E-2</v>
      </c>
      <c r="FC172" s="14">
        <f>mgmt!H384</f>
        <v>1.35E-2</v>
      </c>
      <c r="FD172" s="14">
        <f>1.96*mgmt!I384</f>
        <v>9.4079999999999997E-3</v>
      </c>
    </row>
    <row r="173" spans="152:160" x14ac:dyDescent="0.25">
      <c r="EV173" s="7">
        <f>mgmt!$A385</f>
        <v>0.63</v>
      </c>
      <c r="EW173" s="14">
        <f>mgmt!B385</f>
        <v>0.63500000000000001</v>
      </c>
      <c r="EX173" s="14">
        <f>1.96*mgmt!C385</f>
        <v>4.41E-2</v>
      </c>
      <c r="EY173" s="14">
        <f>mgmt!D385</f>
        <v>0.17780000000000001</v>
      </c>
      <c r="EZ173" s="14">
        <f>1.96*mgmt!E385</f>
        <v>3.8611999999999994E-2</v>
      </c>
      <c r="FA173" s="14">
        <f>mgmt!F385</f>
        <v>0.17369999999999999</v>
      </c>
      <c r="FB173" s="14">
        <f>1.96*mgmt!G385</f>
        <v>3.1947999999999997E-2</v>
      </c>
      <c r="FC173" s="14">
        <f>mgmt!H385</f>
        <v>1.34E-2</v>
      </c>
      <c r="FD173" s="14">
        <f>1.96*mgmt!I385</f>
        <v>9.4079999999999997E-3</v>
      </c>
    </row>
    <row r="174" spans="152:160" x14ac:dyDescent="0.25">
      <c r="EV174" s="7">
        <f>mgmt!$A386</f>
        <v>0.63319999999999999</v>
      </c>
      <c r="EW174" s="14">
        <f>mgmt!B386</f>
        <v>0.63419999999999999</v>
      </c>
      <c r="EX174" s="14">
        <f>1.96*mgmt!C386</f>
        <v>4.4492000000000004E-2</v>
      </c>
      <c r="EY174" s="14">
        <f>mgmt!D386</f>
        <v>0.1782</v>
      </c>
      <c r="EZ174" s="14">
        <f>1.96*mgmt!E386</f>
        <v>3.9004000000000004E-2</v>
      </c>
      <c r="FA174" s="14">
        <f>mgmt!F386</f>
        <v>0.17419999999999999</v>
      </c>
      <c r="FB174" s="14">
        <f>1.96*mgmt!G386</f>
        <v>3.2143999999999999E-2</v>
      </c>
      <c r="FC174" s="14">
        <f>mgmt!H386</f>
        <v>1.34E-2</v>
      </c>
      <c r="FD174" s="14">
        <f>1.96*mgmt!I386</f>
        <v>9.6039999999999997E-3</v>
      </c>
    </row>
    <row r="175" spans="152:160" x14ac:dyDescent="0.25">
      <c r="EV175" s="7">
        <f>mgmt!$A387</f>
        <v>0.63339999999999996</v>
      </c>
      <c r="EW175" s="14">
        <f>mgmt!B387</f>
        <v>0.63419999999999999</v>
      </c>
      <c r="EX175" s="14">
        <f>1.96*mgmt!C387</f>
        <v>4.4492000000000004E-2</v>
      </c>
      <c r="EY175" s="14">
        <f>mgmt!D387</f>
        <v>0.1782</v>
      </c>
      <c r="EZ175" s="14">
        <f>1.96*mgmt!E387</f>
        <v>3.9004000000000004E-2</v>
      </c>
      <c r="FA175" s="14">
        <f>mgmt!F387</f>
        <v>0.17419999999999999</v>
      </c>
      <c r="FB175" s="14">
        <f>1.96*mgmt!G387</f>
        <v>3.2143999999999999E-2</v>
      </c>
      <c r="FC175" s="14">
        <f>mgmt!H387</f>
        <v>1.34E-2</v>
      </c>
      <c r="FD175" s="14">
        <f>1.96*mgmt!I387</f>
        <v>9.6039999999999997E-3</v>
      </c>
    </row>
    <row r="176" spans="152:160" x14ac:dyDescent="0.25">
      <c r="EV176" s="7">
        <f>mgmt!$A388</f>
        <v>0.63680000000000003</v>
      </c>
      <c r="EW176" s="14">
        <f>mgmt!B388</f>
        <v>0.63329999999999997</v>
      </c>
      <c r="EX176" s="14">
        <f>1.96*mgmt!C388</f>
        <v>4.5079999999999995E-2</v>
      </c>
      <c r="EY176" s="14">
        <f>mgmt!D388</f>
        <v>0.1787</v>
      </c>
      <c r="EZ176" s="14">
        <f>1.96*mgmt!E388</f>
        <v>3.9591999999999995E-2</v>
      </c>
      <c r="FA176" s="14">
        <f>mgmt!F388</f>
        <v>0.17469999999999999</v>
      </c>
      <c r="FB176" s="14">
        <f>1.96*mgmt!G388</f>
        <v>3.2536000000000002E-2</v>
      </c>
      <c r="FC176" s="14">
        <f>mgmt!H388</f>
        <v>1.3299999999999999E-2</v>
      </c>
      <c r="FD176" s="14">
        <f>1.96*mgmt!I388</f>
        <v>9.6039999999999997E-3</v>
      </c>
    </row>
    <row r="177" spans="152:160" x14ac:dyDescent="0.25">
      <c r="EV177" s="7">
        <f>mgmt!$A389</f>
        <v>0.64</v>
      </c>
      <c r="EW177" s="14">
        <f>mgmt!B389</f>
        <v>0.63260000000000005</v>
      </c>
      <c r="EX177" s="14">
        <f>1.96*mgmt!C389</f>
        <v>4.5471999999999999E-2</v>
      </c>
      <c r="EY177" s="14">
        <f>mgmt!D389</f>
        <v>0.17899999999999999</v>
      </c>
      <c r="EZ177" s="14">
        <f>1.96*mgmt!E389</f>
        <v>3.9983999999999999E-2</v>
      </c>
      <c r="FA177" s="14">
        <f>mgmt!F389</f>
        <v>0.17519999999999999</v>
      </c>
      <c r="FB177" s="14">
        <f>1.96*mgmt!G389</f>
        <v>3.2731999999999997E-2</v>
      </c>
      <c r="FC177" s="14">
        <f>mgmt!H389</f>
        <v>1.32E-2</v>
      </c>
      <c r="FD177" s="14">
        <f>1.96*mgmt!I389</f>
        <v>9.6039999999999997E-3</v>
      </c>
    </row>
    <row r="178" spans="152:160" x14ac:dyDescent="0.25">
      <c r="EV178" s="7">
        <f>mgmt!$A390</f>
        <v>0.64319999999999999</v>
      </c>
      <c r="EW178" s="14">
        <f>mgmt!B390</f>
        <v>0.63180000000000003</v>
      </c>
      <c r="EX178" s="14">
        <f>1.96*mgmt!C390</f>
        <v>4.5864000000000002E-2</v>
      </c>
      <c r="EY178" s="14">
        <f>mgmt!D390</f>
        <v>0.1794</v>
      </c>
      <c r="EZ178" s="14">
        <f>1.96*mgmt!E390</f>
        <v>4.0571999999999997E-2</v>
      </c>
      <c r="FA178" s="14">
        <f>mgmt!F390</f>
        <v>0.17560000000000001</v>
      </c>
      <c r="FB178" s="14">
        <f>1.96*mgmt!G390</f>
        <v>3.2927999999999999E-2</v>
      </c>
      <c r="FC178" s="14">
        <f>mgmt!H390</f>
        <v>1.3100000000000001E-2</v>
      </c>
      <c r="FD178" s="14">
        <f>1.96*mgmt!I390</f>
        <v>9.7999999999999997E-3</v>
      </c>
    </row>
    <row r="179" spans="152:160" x14ac:dyDescent="0.25">
      <c r="EV179" s="7">
        <f>mgmt!$A391</f>
        <v>0.64339999999999997</v>
      </c>
      <c r="EW179" s="14">
        <f>mgmt!B391</f>
        <v>0.63180000000000003</v>
      </c>
      <c r="EX179" s="14">
        <f>1.96*mgmt!C391</f>
        <v>4.5864000000000002E-2</v>
      </c>
      <c r="EY179" s="14">
        <f>mgmt!D391</f>
        <v>0.17949999999999999</v>
      </c>
      <c r="EZ179" s="14">
        <f>1.96*mgmt!E391</f>
        <v>4.0571999999999997E-2</v>
      </c>
      <c r="FA179" s="14">
        <f>mgmt!F391</f>
        <v>0.17560000000000001</v>
      </c>
      <c r="FB179" s="14">
        <f>1.96*mgmt!G391</f>
        <v>3.2927999999999999E-2</v>
      </c>
      <c r="FC179" s="14">
        <f>mgmt!H391</f>
        <v>1.3100000000000001E-2</v>
      </c>
      <c r="FD179" s="14">
        <f>1.96*mgmt!I391</f>
        <v>9.7999999999999997E-3</v>
      </c>
    </row>
    <row r="180" spans="152:160" x14ac:dyDescent="0.25">
      <c r="EV180" s="7">
        <f>mgmt!$A392</f>
        <v>0.64659999999999995</v>
      </c>
      <c r="EW180" s="14">
        <f>mgmt!B392</f>
        <v>0.63100000000000001</v>
      </c>
      <c r="EX180" s="14">
        <f>1.96*mgmt!C392</f>
        <v>4.6452E-2</v>
      </c>
      <c r="EY180" s="14">
        <f>mgmt!D392</f>
        <v>0.17979999999999999</v>
      </c>
      <c r="EZ180" s="14">
        <f>1.96*mgmt!E392</f>
        <v>4.1160000000000002E-2</v>
      </c>
      <c r="FA180" s="14">
        <f>mgmt!F392</f>
        <v>0.17610000000000001</v>
      </c>
      <c r="FB180" s="14">
        <f>1.96*mgmt!G392</f>
        <v>3.3320000000000002E-2</v>
      </c>
      <c r="FC180" s="14">
        <f>mgmt!H392</f>
        <v>1.3100000000000001E-2</v>
      </c>
      <c r="FD180" s="14">
        <f>1.96*mgmt!I392</f>
        <v>9.7999999999999997E-3</v>
      </c>
    </row>
    <row r="181" spans="152:160" x14ac:dyDescent="0.25">
      <c r="EV181" s="7">
        <f>mgmt!$A393</f>
        <v>0.65</v>
      </c>
      <c r="EW181" s="14">
        <f>mgmt!B393</f>
        <v>0.63009999999999999</v>
      </c>
      <c r="EX181" s="14">
        <f>1.96*mgmt!C393</f>
        <v>4.6844000000000004E-2</v>
      </c>
      <c r="EY181" s="14">
        <f>mgmt!D393</f>
        <v>0.18029999999999999</v>
      </c>
      <c r="EZ181" s="14">
        <f>1.96*mgmt!E393</f>
        <v>4.1551999999999999E-2</v>
      </c>
      <c r="FA181" s="14">
        <f>mgmt!F393</f>
        <v>0.17660000000000001</v>
      </c>
      <c r="FB181" s="14">
        <f>1.96*mgmt!G393</f>
        <v>3.3515999999999997E-2</v>
      </c>
      <c r="FC181" s="14">
        <f>mgmt!H393</f>
        <v>1.2999999999999999E-2</v>
      </c>
      <c r="FD181" s="14">
        <f>1.96*mgmt!I393</f>
        <v>9.9959999999999997E-3</v>
      </c>
    </row>
    <row r="182" spans="152:160" x14ac:dyDescent="0.25">
      <c r="EV182" s="7">
        <f>mgmt!$A394</f>
        <v>0.6502</v>
      </c>
      <c r="EW182" s="14">
        <f>mgmt!B394</f>
        <v>0.63009999999999999</v>
      </c>
      <c r="EX182" s="14">
        <f>1.96*mgmt!C394</f>
        <v>4.6844000000000004E-2</v>
      </c>
      <c r="EY182" s="14">
        <f>mgmt!D394</f>
        <v>0.18029999999999999</v>
      </c>
      <c r="EZ182" s="14">
        <f>1.96*mgmt!E394</f>
        <v>4.1551999999999999E-2</v>
      </c>
      <c r="FA182" s="14">
        <f>mgmt!F394</f>
        <v>0.17660000000000001</v>
      </c>
      <c r="FB182" s="14">
        <f>1.96*mgmt!G394</f>
        <v>3.3515999999999997E-2</v>
      </c>
      <c r="FC182" s="14">
        <f>mgmt!H394</f>
        <v>1.2999999999999999E-2</v>
      </c>
      <c r="FD182" s="14">
        <f>1.96*mgmt!I394</f>
        <v>9.9959999999999997E-3</v>
      </c>
    </row>
    <row r="183" spans="152:160" x14ac:dyDescent="0.25">
      <c r="EV183" s="7">
        <f>mgmt!$A395</f>
        <v>0.6532</v>
      </c>
      <c r="EW183" s="14">
        <f>mgmt!B395</f>
        <v>0.62939999999999996</v>
      </c>
      <c r="EX183" s="14">
        <f>1.96*mgmt!C395</f>
        <v>4.7431999999999995E-2</v>
      </c>
      <c r="EY183" s="14">
        <f>mgmt!D395</f>
        <v>0.1807</v>
      </c>
      <c r="EZ183" s="14">
        <f>1.96*mgmt!E395</f>
        <v>4.2139999999999997E-2</v>
      </c>
      <c r="FA183" s="14">
        <f>mgmt!F395</f>
        <v>0.17699999999999999</v>
      </c>
      <c r="FB183" s="14">
        <f>1.96*mgmt!G395</f>
        <v>3.3908000000000001E-2</v>
      </c>
      <c r="FC183" s="14">
        <f>mgmt!H395</f>
        <v>1.29E-2</v>
      </c>
      <c r="FD183" s="14">
        <f>1.96*mgmt!I395</f>
        <v>9.9959999999999997E-3</v>
      </c>
    </row>
    <row r="184" spans="152:160" x14ac:dyDescent="0.25">
      <c r="EV184" s="7">
        <f>mgmt!$A396</f>
        <v>0.65339999999999998</v>
      </c>
      <c r="EW184" s="14">
        <f>mgmt!B396</f>
        <v>0.62929999999999997</v>
      </c>
      <c r="EX184" s="14">
        <f>1.96*mgmt!C396</f>
        <v>4.7431999999999995E-2</v>
      </c>
      <c r="EY184" s="14">
        <f>mgmt!D396</f>
        <v>0.1807</v>
      </c>
      <c r="EZ184" s="14">
        <f>1.96*mgmt!E396</f>
        <v>4.2139999999999997E-2</v>
      </c>
      <c r="FA184" s="14">
        <f>mgmt!F396</f>
        <v>0.17710000000000001</v>
      </c>
      <c r="FB184" s="14">
        <f>1.96*mgmt!G396</f>
        <v>3.3908000000000001E-2</v>
      </c>
      <c r="FC184" s="14">
        <f>mgmt!H396</f>
        <v>1.29E-2</v>
      </c>
      <c r="FD184" s="14">
        <f>1.96*mgmt!I396</f>
        <v>9.9959999999999997E-3</v>
      </c>
    </row>
    <row r="185" spans="152:160" x14ac:dyDescent="0.25">
      <c r="EV185" s="7">
        <f>mgmt!$A397</f>
        <v>0.66</v>
      </c>
      <c r="EW185" s="14">
        <f>mgmt!B397</f>
        <v>0.62770000000000004</v>
      </c>
      <c r="EX185" s="14">
        <f>1.96*mgmt!C397</f>
        <v>4.8411999999999997E-2</v>
      </c>
      <c r="EY185" s="14">
        <f>mgmt!D397</f>
        <v>0.18149999999999999</v>
      </c>
      <c r="EZ185" s="14">
        <f>1.96*mgmt!E397</f>
        <v>4.3316E-2</v>
      </c>
      <c r="FA185" s="14">
        <f>mgmt!F397</f>
        <v>0.17799999999999999</v>
      </c>
      <c r="FB185" s="14">
        <f>1.96*mgmt!G397</f>
        <v>3.4495999999999999E-2</v>
      </c>
      <c r="FC185" s="14">
        <f>mgmt!H397</f>
        <v>1.2800000000000001E-2</v>
      </c>
      <c r="FD185" s="14">
        <f>1.96*mgmt!I397</f>
        <v>1.0192E-2</v>
      </c>
    </row>
    <row r="186" spans="152:160" x14ac:dyDescent="0.25">
      <c r="EV186" s="7">
        <f>mgmt!$A398</f>
        <v>0.66020000000000001</v>
      </c>
      <c r="EW186" s="14">
        <f>mgmt!B398</f>
        <v>0.62770000000000004</v>
      </c>
      <c r="EX186" s="14">
        <f>1.96*mgmt!C398</f>
        <v>4.8411999999999997E-2</v>
      </c>
      <c r="EY186" s="14">
        <f>mgmt!D398</f>
        <v>0.18149999999999999</v>
      </c>
      <c r="EZ186" s="14">
        <f>1.96*mgmt!E398</f>
        <v>4.3316E-2</v>
      </c>
      <c r="FA186" s="14">
        <f>mgmt!F398</f>
        <v>0.17799999999999999</v>
      </c>
      <c r="FB186" s="14">
        <f>1.96*mgmt!G398</f>
        <v>3.4495999999999999E-2</v>
      </c>
      <c r="FC186" s="14">
        <f>mgmt!H398</f>
        <v>1.2800000000000001E-2</v>
      </c>
      <c r="FD186" s="14">
        <f>1.96*mgmt!I398</f>
        <v>1.0192E-2</v>
      </c>
    </row>
    <row r="187" spans="152:160" x14ac:dyDescent="0.25">
      <c r="EV187" s="7">
        <f>mgmt!$A399</f>
        <v>0.66339999999999999</v>
      </c>
      <c r="EW187" s="14">
        <f>mgmt!B399</f>
        <v>0.62690000000000001</v>
      </c>
      <c r="EX187" s="14">
        <f>1.96*mgmt!C399</f>
        <v>4.9000000000000002E-2</v>
      </c>
      <c r="EY187" s="14">
        <f>mgmt!D399</f>
        <v>0.18190000000000001</v>
      </c>
      <c r="EZ187" s="14">
        <f>1.96*mgmt!E399</f>
        <v>4.3903999999999999E-2</v>
      </c>
      <c r="FA187" s="14">
        <f>mgmt!F399</f>
        <v>0.17849999999999999</v>
      </c>
      <c r="FB187" s="14">
        <f>1.96*mgmt!G399</f>
        <v>3.4888000000000002E-2</v>
      </c>
      <c r="FC187" s="14">
        <f>mgmt!H399</f>
        <v>1.2699999999999999E-2</v>
      </c>
      <c r="FD187" s="14">
        <f>1.96*mgmt!I399</f>
        <v>1.0192E-2</v>
      </c>
    </row>
    <row r="188" spans="152:160" x14ac:dyDescent="0.25">
      <c r="EV188" s="7">
        <f>mgmt!$A400</f>
        <v>0.66659999999999997</v>
      </c>
      <c r="EW188" s="14">
        <f>mgmt!B400</f>
        <v>0.62609999999999999</v>
      </c>
      <c r="EX188" s="14">
        <f>1.96*mgmt!C400</f>
        <v>4.9391999999999998E-2</v>
      </c>
      <c r="EY188" s="14">
        <f>mgmt!D400</f>
        <v>0.18229999999999999</v>
      </c>
      <c r="EZ188" s="14">
        <f>1.96*mgmt!E400</f>
        <v>4.4492000000000004E-2</v>
      </c>
      <c r="FA188" s="14">
        <f>mgmt!F400</f>
        <v>0.17899999999999999</v>
      </c>
      <c r="FB188" s="14">
        <f>1.96*mgmt!G400</f>
        <v>3.5083999999999997E-2</v>
      </c>
      <c r="FC188" s="14">
        <f>mgmt!H400</f>
        <v>1.2699999999999999E-2</v>
      </c>
      <c r="FD188" s="14">
        <f>1.96*mgmt!I400</f>
        <v>1.0192E-2</v>
      </c>
    </row>
    <row r="189" spans="152:160" x14ac:dyDescent="0.25">
      <c r="EV189" s="7">
        <f>mgmt!$A401</f>
        <v>0.66679999999999995</v>
      </c>
      <c r="EW189" s="14">
        <f>mgmt!B401</f>
        <v>0.626</v>
      </c>
      <c r="EX189" s="14">
        <f>1.96*mgmt!C401</f>
        <v>4.9391999999999998E-2</v>
      </c>
      <c r="EY189" s="14">
        <f>mgmt!D401</f>
        <v>0.18229999999999999</v>
      </c>
      <c r="EZ189" s="14">
        <f>1.96*mgmt!E401</f>
        <v>4.4492000000000004E-2</v>
      </c>
      <c r="FA189" s="14">
        <f>mgmt!F401</f>
        <v>0.17899999999999999</v>
      </c>
      <c r="FB189" s="14">
        <f>1.96*mgmt!G401</f>
        <v>3.5083999999999997E-2</v>
      </c>
      <c r="FC189" s="14">
        <f>mgmt!H401</f>
        <v>1.2699999999999999E-2</v>
      </c>
      <c r="FD189" s="14">
        <f>1.96*mgmt!I401</f>
        <v>1.0192E-2</v>
      </c>
    </row>
    <row r="190" spans="152:160" x14ac:dyDescent="0.25">
      <c r="EV190" s="7">
        <f>mgmt!$A402</f>
        <v>0.67</v>
      </c>
      <c r="EW190" s="14">
        <f>mgmt!B402</f>
        <v>0.62529999999999997</v>
      </c>
      <c r="EX190" s="14">
        <f>1.96*mgmt!C402</f>
        <v>4.9979999999999997E-2</v>
      </c>
      <c r="EY190" s="14">
        <f>mgmt!D402</f>
        <v>0.1827</v>
      </c>
      <c r="EZ190" s="14">
        <f>1.96*mgmt!E402</f>
        <v>4.5079999999999995E-2</v>
      </c>
      <c r="FA190" s="14">
        <f>mgmt!F402</f>
        <v>0.17949999999999999</v>
      </c>
      <c r="FB190" s="14">
        <f>1.96*mgmt!G402</f>
        <v>3.5476000000000001E-2</v>
      </c>
      <c r="FC190" s="14">
        <f>mgmt!H402</f>
        <v>1.26E-2</v>
      </c>
      <c r="FD190" s="14">
        <f>1.96*mgmt!I402</f>
        <v>1.0388E-2</v>
      </c>
    </row>
    <row r="191" spans="152:160" x14ac:dyDescent="0.25">
      <c r="EV191" s="7">
        <f>mgmt!$A403</f>
        <v>0.67659999999999998</v>
      </c>
      <c r="EW191" s="14">
        <f>mgmt!B403</f>
        <v>0.62360000000000004</v>
      </c>
      <c r="EX191" s="14">
        <f>1.96*mgmt!C403</f>
        <v>5.1156E-2</v>
      </c>
      <c r="EY191" s="14">
        <f>mgmt!D403</f>
        <v>0.1835</v>
      </c>
      <c r="EZ191" s="14">
        <f>1.96*mgmt!E403</f>
        <v>4.6255999999999999E-2</v>
      </c>
      <c r="FA191" s="14">
        <f>mgmt!F403</f>
        <v>0.1804</v>
      </c>
      <c r="FB191" s="14">
        <f>1.96*mgmt!G403</f>
        <v>3.6063999999999999E-2</v>
      </c>
      <c r="FC191" s="14">
        <f>mgmt!H403</f>
        <v>1.24E-2</v>
      </c>
      <c r="FD191" s="14">
        <f>1.96*mgmt!I403</f>
        <v>1.0388E-2</v>
      </c>
    </row>
    <row r="192" spans="152:160" x14ac:dyDescent="0.25">
      <c r="EV192" s="7">
        <f>mgmt!$A404</f>
        <v>0.67679999999999996</v>
      </c>
      <c r="EW192" s="14">
        <f>mgmt!B404</f>
        <v>0.62360000000000004</v>
      </c>
      <c r="EX192" s="14">
        <f>1.96*mgmt!C404</f>
        <v>5.1156E-2</v>
      </c>
      <c r="EY192" s="14">
        <f>mgmt!D404</f>
        <v>0.1835</v>
      </c>
      <c r="EZ192" s="14">
        <f>1.96*mgmt!E404</f>
        <v>4.6255999999999999E-2</v>
      </c>
      <c r="FA192" s="14">
        <f>mgmt!F404</f>
        <v>0.1804</v>
      </c>
      <c r="FB192" s="14">
        <f>1.96*mgmt!G404</f>
        <v>3.6063999999999999E-2</v>
      </c>
      <c r="FC192" s="14">
        <f>mgmt!H404</f>
        <v>1.24E-2</v>
      </c>
      <c r="FD192" s="14">
        <f>1.96*mgmt!I404</f>
        <v>1.0388E-2</v>
      </c>
    </row>
    <row r="193" spans="152:160" x14ac:dyDescent="0.25">
      <c r="EV193" s="7">
        <f>mgmt!$A405</f>
        <v>0.68</v>
      </c>
      <c r="EW193" s="14">
        <f>mgmt!B405</f>
        <v>0.62280000000000002</v>
      </c>
      <c r="EX193" s="14">
        <f>1.96*mgmt!C405</f>
        <v>5.1743999999999998E-2</v>
      </c>
      <c r="EY193" s="14">
        <f>mgmt!D405</f>
        <v>0.18390000000000001</v>
      </c>
      <c r="EZ193" s="14">
        <f>1.96*mgmt!E405</f>
        <v>4.6844000000000004E-2</v>
      </c>
      <c r="FA193" s="14">
        <f>mgmt!F405</f>
        <v>0.18090000000000001</v>
      </c>
      <c r="FB193" s="14">
        <f>1.96*mgmt!G405</f>
        <v>3.6455999999999995E-2</v>
      </c>
      <c r="FC193" s="14">
        <f>mgmt!H405</f>
        <v>1.24E-2</v>
      </c>
      <c r="FD193" s="14">
        <f>1.96*mgmt!I405</f>
        <v>1.0584E-2</v>
      </c>
    </row>
    <row r="194" spans="152:160" x14ac:dyDescent="0.25">
      <c r="EV194" s="7">
        <f>mgmt!$A406</f>
        <v>0.68020000000000003</v>
      </c>
      <c r="EW194" s="14">
        <f>mgmt!B406</f>
        <v>0.62280000000000002</v>
      </c>
      <c r="EX194" s="14">
        <f>1.96*mgmt!C406</f>
        <v>5.1743999999999998E-2</v>
      </c>
      <c r="EY194" s="14">
        <f>mgmt!D406</f>
        <v>0.18390000000000001</v>
      </c>
      <c r="EZ194" s="14">
        <f>1.96*mgmt!E406</f>
        <v>4.6844000000000004E-2</v>
      </c>
      <c r="FA194" s="14">
        <f>mgmt!F406</f>
        <v>0.18090000000000001</v>
      </c>
      <c r="FB194" s="14">
        <f>1.96*mgmt!G406</f>
        <v>3.6455999999999995E-2</v>
      </c>
      <c r="FC194" s="14">
        <f>mgmt!H406</f>
        <v>1.24E-2</v>
      </c>
      <c r="FD194" s="14">
        <f>1.96*mgmt!I406</f>
        <v>1.0584E-2</v>
      </c>
    </row>
    <row r="195" spans="152:160" x14ac:dyDescent="0.25">
      <c r="EV195" s="7">
        <f>mgmt!$A407</f>
        <v>0.68320000000000003</v>
      </c>
      <c r="EW195" s="14">
        <f>mgmt!B407</f>
        <v>0.622</v>
      </c>
      <c r="EX195" s="14">
        <f>1.96*mgmt!C407</f>
        <v>5.2135999999999995E-2</v>
      </c>
      <c r="EY195" s="14">
        <f>mgmt!D407</f>
        <v>0.18429999999999999</v>
      </c>
      <c r="EZ195" s="14">
        <f>1.96*mgmt!E407</f>
        <v>4.7431999999999995E-2</v>
      </c>
      <c r="FA195" s="14">
        <f>mgmt!F407</f>
        <v>0.18140000000000001</v>
      </c>
      <c r="FB195" s="14">
        <f>1.96*mgmt!G407</f>
        <v>3.6847999999999999E-2</v>
      </c>
      <c r="FC195" s="14">
        <f>mgmt!H407</f>
        <v>1.23E-2</v>
      </c>
      <c r="FD195" s="14">
        <f>1.96*mgmt!I407</f>
        <v>1.0584E-2</v>
      </c>
    </row>
    <row r="196" spans="152:160" x14ac:dyDescent="0.25">
      <c r="EV196" s="7">
        <f>mgmt!$A408</f>
        <v>0.68340000000000001</v>
      </c>
      <c r="EW196" s="14">
        <f>mgmt!B408</f>
        <v>0.622</v>
      </c>
      <c r="EX196" s="14">
        <f>1.96*mgmt!C408</f>
        <v>5.2332000000000004E-2</v>
      </c>
      <c r="EY196" s="14">
        <f>mgmt!D408</f>
        <v>0.18429999999999999</v>
      </c>
      <c r="EZ196" s="14">
        <f>1.96*mgmt!E408</f>
        <v>4.7431999999999995E-2</v>
      </c>
      <c r="FA196" s="14">
        <f>mgmt!F408</f>
        <v>0.18140000000000001</v>
      </c>
      <c r="FB196" s="14">
        <f>1.96*mgmt!G408</f>
        <v>3.6847999999999999E-2</v>
      </c>
      <c r="FC196" s="14">
        <f>mgmt!H408</f>
        <v>1.23E-2</v>
      </c>
      <c r="FD196" s="14">
        <f>1.96*mgmt!I408</f>
        <v>1.0584E-2</v>
      </c>
    </row>
    <row r="197" spans="152:160" x14ac:dyDescent="0.25">
      <c r="EV197" s="7">
        <f>mgmt!$A409</f>
        <v>0.68679999999999997</v>
      </c>
      <c r="EW197" s="14">
        <f>mgmt!B409</f>
        <v>0.62109999999999999</v>
      </c>
      <c r="EX197" s="14">
        <f>1.96*mgmt!C409</f>
        <v>5.2920000000000002E-2</v>
      </c>
      <c r="EY197" s="14">
        <f>mgmt!D409</f>
        <v>0.1847</v>
      </c>
      <c r="EZ197" s="14">
        <f>1.96*mgmt!E409</f>
        <v>4.8216000000000002E-2</v>
      </c>
      <c r="FA197" s="14">
        <f>mgmt!F409</f>
        <v>0.18190000000000001</v>
      </c>
      <c r="FB197" s="14">
        <f>1.96*mgmt!G409</f>
        <v>3.7239999999999995E-2</v>
      </c>
      <c r="FC197" s="14">
        <f>mgmt!H409</f>
        <v>1.2200000000000001E-2</v>
      </c>
      <c r="FD197" s="14">
        <f>1.96*mgmt!I409</f>
        <v>1.0584E-2</v>
      </c>
    </row>
    <row r="198" spans="152:160" x14ac:dyDescent="0.25">
      <c r="EV198" s="7">
        <f>mgmt!$A410</f>
        <v>0.69320000000000004</v>
      </c>
      <c r="EW198" s="14">
        <f>mgmt!B410</f>
        <v>0.61950000000000005</v>
      </c>
      <c r="EX198" s="14">
        <f>1.96*mgmt!C410</f>
        <v>5.3899999999999997E-2</v>
      </c>
      <c r="EY198" s="14">
        <f>mgmt!D410</f>
        <v>0.1855</v>
      </c>
      <c r="EZ198" s="14">
        <f>1.96*mgmt!E410</f>
        <v>4.9391999999999998E-2</v>
      </c>
      <c r="FA198" s="14">
        <f>mgmt!F410</f>
        <v>0.18279999999999999</v>
      </c>
      <c r="FB198" s="14">
        <f>1.96*mgmt!G410</f>
        <v>3.7828000000000001E-2</v>
      </c>
      <c r="FC198" s="14">
        <f>mgmt!H410</f>
        <v>1.21E-2</v>
      </c>
      <c r="FD198" s="14">
        <f>1.96*mgmt!I410</f>
        <v>1.078E-2</v>
      </c>
    </row>
    <row r="199" spans="152:160" x14ac:dyDescent="0.25">
      <c r="EV199" s="7">
        <f>mgmt!$A411</f>
        <v>0.69340000000000002</v>
      </c>
      <c r="EW199" s="14">
        <f>mgmt!B411</f>
        <v>0.61950000000000005</v>
      </c>
      <c r="EX199" s="14">
        <f>1.96*mgmt!C411</f>
        <v>5.4095999999999998E-2</v>
      </c>
      <c r="EY199" s="14">
        <f>mgmt!D411</f>
        <v>0.18559999999999999</v>
      </c>
      <c r="EZ199" s="14">
        <f>1.96*mgmt!E411</f>
        <v>4.9391999999999998E-2</v>
      </c>
      <c r="FA199" s="14">
        <f>mgmt!F411</f>
        <v>0.18279999999999999</v>
      </c>
      <c r="FB199" s="14">
        <f>1.96*mgmt!G411</f>
        <v>3.8024000000000002E-2</v>
      </c>
      <c r="FC199" s="14">
        <f>mgmt!H411</f>
        <v>1.21E-2</v>
      </c>
      <c r="FD199" s="14">
        <f>1.96*mgmt!I411</f>
        <v>1.078E-2</v>
      </c>
    </row>
    <row r="200" spans="152:160" x14ac:dyDescent="0.25">
      <c r="EV200" s="7">
        <f>mgmt!$A412</f>
        <v>0.6966</v>
      </c>
      <c r="EW200" s="14">
        <f>mgmt!B412</f>
        <v>0.61870000000000003</v>
      </c>
      <c r="EX200" s="14">
        <f>1.96*mgmt!C412</f>
        <v>5.4684000000000003E-2</v>
      </c>
      <c r="EY200" s="14">
        <f>mgmt!D412</f>
        <v>0.18590000000000001</v>
      </c>
      <c r="EZ200" s="14">
        <f>1.96*mgmt!E412</f>
        <v>4.9979999999999997E-2</v>
      </c>
      <c r="FA200" s="14">
        <f>mgmt!F412</f>
        <v>0.18329999999999999</v>
      </c>
      <c r="FB200" s="14">
        <f>1.96*mgmt!G412</f>
        <v>3.8219999999999997E-2</v>
      </c>
      <c r="FC200" s="14">
        <f>mgmt!H412</f>
        <v>1.2E-2</v>
      </c>
      <c r="FD200" s="14">
        <f>1.96*mgmt!I412</f>
        <v>1.0976E-2</v>
      </c>
    </row>
    <row r="201" spans="152:160" x14ac:dyDescent="0.25">
      <c r="EV201" s="7">
        <f>mgmt!$A413</f>
        <v>0.69679999999999997</v>
      </c>
      <c r="EW201" s="14">
        <f>mgmt!B413</f>
        <v>0.61870000000000003</v>
      </c>
      <c r="EX201" s="14">
        <f>1.96*mgmt!C413</f>
        <v>5.4684000000000003E-2</v>
      </c>
      <c r="EY201" s="14">
        <f>mgmt!D413</f>
        <v>0.186</v>
      </c>
      <c r="EZ201" s="14">
        <f>1.96*mgmt!E413</f>
        <v>5.0175999999999998E-2</v>
      </c>
      <c r="FA201" s="14">
        <f>mgmt!F413</f>
        <v>0.18329999999999999</v>
      </c>
      <c r="FB201" s="14">
        <f>1.96*mgmt!G413</f>
        <v>3.8219999999999997E-2</v>
      </c>
      <c r="FC201" s="14">
        <f>mgmt!H413</f>
        <v>1.2E-2</v>
      </c>
      <c r="FD201" s="14">
        <f>1.96*mgmt!I413</f>
        <v>1.0976E-2</v>
      </c>
    </row>
    <row r="202" spans="152:160" x14ac:dyDescent="0.25">
      <c r="EV202" s="7">
        <f>mgmt!$A414</f>
        <v>0.7</v>
      </c>
      <c r="EW202" s="14">
        <f>mgmt!B414</f>
        <v>0.6179</v>
      </c>
      <c r="EX202" s="14">
        <f>1.96*mgmt!C414</f>
        <v>5.5271999999999995E-2</v>
      </c>
      <c r="EY202" s="14">
        <f>mgmt!D414</f>
        <v>0.18640000000000001</v>
      </c>
      <c r="EZ202" s="14">
        <f>1.96*mgmt!E414</f>
        <v>5.0763999999999997E-2</v>
      </c>
      <c r="FA202" s="14">
        <f>mgmt!F414</f>
        <v>0.18379999999999999</v>
      </c>
      <c r="FB202" s="14">
        <f>1.96*mgmt!G414</f>
        <v>3.8611999999999994E-2</v>
      </c>
      <c r="FC202" s="14">
        <f>mgmt!H414</f>
        <v>1.2E-2</v>
      </c>
      <c r="FD202" s="14">
        <f>1.96*mgmt!I414</f>
        <v>1.0976E-2</v>
      </c>
    </row>
    <row r="203" spans="152:160" x14ac:dyDescent="0.25">
      <c r="EV203" s="7">
        <f>mgmt!$A415</f>
        <v>0.70020000000000004</v>
      </c>
      <c r="EW203" s="14">
        <f>mgmt!B415</f>
        <v>0.61780000000000002</v>
      </c>
      <c r="EX203" s="14">
        <f>1.96*mgmt!C415</f>
        <v>5.5271999999999995E-2</v>
      </c>
      <c r="EY203" s="14">
        <f>mgmt!D415</f>
        <v>0.18640000000000001</v>
      </c>
      <c r="EZ203" s="14">
        <f>1.96*mgmt!E415</f>
        <v>5.0763999999999997E-2</v>
      </c>
      <c r="FA203" s="14">
        <f>mgmt!F415</f>
        <v>0.18379999999999999</v>
      </c>
      <c r="FB203" s="14">
        <f>1.96*mgmt!G415</f>
        <v>3.8611999999999994E-2</v>
      </c>
      <c r="FC203" s="14">
        <f>mgmt!H415</f>
        <v>1.2E-2</v>
      </c>
      <c r="FD203" s="14">
        <f>1.96*mgmt!I415</f>
        <v>1.0976E-2</v>
      </c>
    </row>
    <row r="204" spans="152:160" x14ac:dyDescent="0.25">
      <c r="EV204" s="7">
        <f>mgmt!$A416</f>
        <v>0.70679999999999998</v>
      </c>
      <c r="EW204" s="14">
        <f>mgmt!B416</f>
        <v>0.61619999999999997</v>
      </c>
      <c r="EX204" s="14">
        <f>1.96*mgmt!C416</f>
        <v>5.6447999999999998E-2</v>
      </c>
      <c r="EY204" s="14">
        <f>mgmt!D416</f>
        <v>0.18720000000000001</v>
      </c>
      <c r="EZ204" s="14">
        <f>1.96*mgmt!E416</f>
        <v>5.2135999999999995E-2</v>
      </c>
      <c r="FA204" s="14">
        <f>mgmt!F416</f>
        <v>0.18479999999999999</v>
      </c>
      <c r="FB204" s="14">
        <f>1.96*mgmt!G416</f>
        <v>3.9396E-2</v>
      </c>
      <c r="FC204" s="14">
        <f>mgmt!H416</f>
        <v>1.18E-2</v>
      </c>
      <c r="FD204" s="14">
        <f>1.96*mgmt!I416</f>
        <v>1.1172E-2</v>
      </c>
    </row>
    <row r="205" spans="152:160" x14ac:dyDescent="0.25">
      <c r="EV205" s="7">
        <f>mgmt!$A417</f>
        <v>0.71</v>
      </c>
      <c r="EW205" s="14">
        <f>mgmt!B417</f>
        <v>0.61539999999999995</v>
      </c>
      <c r="EX205" s="14">
        <f>1.96*mgmt!C417</f>
        <v>5.7036000000000003E-2</v>
      </c>
      <c r="EY205" s="14">
        <f>mgmt!D417</f>
        <v>0.18759999999999999</v>
      </c>
      <c r="EZ205" s="14">
        <f>1.96*mgmt!E417</f>
        <v>5.2724E-2</v>
      </c>
      <c r="FA205" s="14">
        <f>mgmt!F417</f>
        <v>0.18529999999999999</v>
      </c>
      <c r="FB205" s="14">
        <f>1.96*mgmt!G417</f>
        <v>3.9787999999999997E-2</v>
      </c>
      <c r="FC205" s="14">
        <f>mgmt!H417</f>
        <v>1.18E-2</v>
      </c>
      <c r="FD205" s="14">
        <f>1.96*mgmt!I417</f>
        <v>1.1172E-2</v>
      </c>
    </row>
    <row r="206" spans="152:160" x14ac:dyDescent="0.25">
      <c r="EV206" s="7">
        <f>mgmt!$A418</f>
        <v>0.71020000000000005</v>
      </c>
      <c r="EW206" s="14">
        <f>mgmt!B418</f>
        <v>0.61529999999999996</v>
      </c>
      <c r="EX206" s="14">
        <f>1.96*mgmt!C418</f>
        <v>5.7036000000000003E-2</v>
      </c>
      <c r="EY206" s="14">
        <f>mgmt!D418</f>
        <v>0.18759999999999999</v>
      </c>
      <c r="EZ206" s="14">
        <f>1.96*mgmt!E418</f>
        <v>5.2920000000000002E-2</v>
      </c>
      <c r="FA206" s="14">
        <f>mgmt!F418</f>
        <v>0.18529999999999999</v>
      </c>
      <c r="FB206" s="14">
        <f>1.96*mgmt!G418</f>
        <v>3.9787999999999997E-2</v>
      </c>
      <c r="FC206" s="14">
        <f>mgmt!H418</f>
        <v>1.18E-2</v>
      </c>
      <c r="FD206" s="14">
        <f>1.96*mgmt!I418</f>
        <v>1.1172E-2</v>
      </c>
    </row>
    <row r="207" spans="152:160" x14ac:dyDescent="0.25">
      <c r="EV207" s="7">
        <f>mgmt!$A419</f>
        <v>0.71340000000000003</v>
      </c>
      <c r="EW207" s="14">
        <f>mgmt!B419</f>
        <v>0.61450000000000005</v>
      </c>
      <c r="EX207" s="14">
        <f>1.96*mgmt!C419</f>
        <v>5.7819999999999996E-2</v>
      </c>
      <c r="EY207" s="14">
        <f>mgmt!D419</f>
        <v>0.188</v>
      </c>
      <c r="EZ207" s="14">
        <f>1.96*mgmt!E419</f>
        <v>5.3508E-2</v>
      </c>
      <c r="FA207" s="14">
        <f>mgmt!F419</f>
        <v>0.18579999999999999</v>
      </c>
      <c r="FB207" s="14">
        <f>1.96*mgmt!G419</f>
        <v>4.018E-2</v>
      </c>
      <c r="FC207" s="14">
        <f>mgmt!H419</f>
        <v>1.17E-2</v>
      </c>
      <c r="FD207" s="14">
        <f>1.96*mgmt!I419</f>
        <v>1.1172E-2</v>
      </c>
    </row>
    <row r="208" spans="152:160" x14ac:dyDescent="0.25">
      <c r="EV208" s="7">
        <f>mgmt!$A420</f>
        <v>0.71660000000000001</v>
      </c>
      <c r="EW208" s="14">
        <f>mgmt!B420</f>
        <v>0.61370000000000002</v>
      </c>
      <c r="EX208" s="14">
        <f>1.96*mgmt!C420</f>
        <v>5.8408000000000002E-2</v>
      </c>
      <c r="EY208" s="14">
        <f>mgmt!D420</f>
        <v>0.18840000000000001</v>
      </c>
      <c r="EZ208" s="14">
        <f>1.96*mgmt!E420</f>
        <v>5.4292E-2</v>
      </c>
      <c r="FA208" s="14">
        <f>mgmt!F420</f>
        <v>0.1862</v>
      </c>
      <c r="FB208" s="14">
        <f>1.96*mgmt!G420</f>
        <v>4.0571999999999997E-2</v>
      </c>
      <c r="FC208" s="14">
        <f>mgmt!H420</f>
        <v>1.17E-2</v>
      </c>
      <c r="FD208" s="14">
        <f>1.96*mgmt!I420</f>
        <v>1.1368E-2</v>
      </c>
    </row>
    <row r="209" spans="152:160" x14ac:dyDescent="0.25">
      <c r="EV209" s="7">
        <f>mgmt!$A421</f>
        <v>0.71679999999999999</v>
      </c>
      <c r="EW209" s="14">
        <f>mgmt!B421</f>
        <v>0.61370000000000002</v>
      </c>
      <c r="EX209" s="14">
        <f>1.96*mgmt!C421</f>
        <v>5.8408000000000002E-2</v>
      </c>
      <c r="EY209" s="14">
        <f>mgmt!D421</f>
        <v>0.18840000000000001</v>
      </c>
      <c r="EZ209" s="14">
        <f>1.96*mgmt!E421</f>
        <v>5.4292E-2</v>
      </c>
      <c r="FA209" s="14">
        <f>mgmt!F421</f>
        <v>0.18629999999999999</v>
      </c>
      <c r="FB209" s="14">
        <f>1.96*mgmt!G421</f>
        <v>4.0571999999999997E-2</v>
      </c>
      <c r="FC209" s="14">
        <f>mgmt!H421</f>
        <v>1.17E-2</v>
      </c>
      <c r="FD209" s="14">
        <f>1.96*mgmt!I421</f>
        <v>1.1368E-2</v>
      </c>
    </row>
    <row r="210" spans="152:160" x14ac:dyDescent="0.25">
      <c r="EV210" s="7">
        <f>mgmt!$A422</f>
        <v>0.72</v>
      </c>
      <c r="EW210" s="14">
        <f>mgmt!B422</f>
        <v>0.6129</v>
      </c>
      <c r="EX210" s="14">
        <f>1.96*mgmt!C422</f>
        <v>5.8995999999999993E-2</v>
      </c>
      <c r="EY210" s="14">
        <f>mgmt!D422</f>
        <v>0.1888</v>
      </c>
      <c r="EZ210" s="14">
        <f>1.96*mgmt!E422</f>
        <v>5.4879999999999998E-2</v>
      </c>
      <c r="FA210" s="14">
        <f>mgmt!F422</f>
        <v>0.1867</v>
      </c>
      <c r="FB210" s="14">
        <f>1.96*mgmt!G422</f>
        <v>4.0963999999999993E-2</v>
      </c>
      <c r="FC210" s="14">
        <f>mgmt!H422</f>
        <v>1.1599999999999999E-2</v>
      </c>
      <c r="FD210" s="14">
        <f>1.96*mgmt!I422</f>
        <v>1.1368E-2</v>
      </c>
    </row>
    <row r="211" spans="152:160" x14ac:dyDescent="0.25">
      <c r="EV211" s="7">
        <f>mgmt!$A423</f>
        <v>0.72660000000000002</v>
      </c>
      <c r="EW211" s="14">
        <f>mgmt!B423</f>
        <v>0.61119999999999997</v>
      </c>
      <c r="EX211" s="14">
        <f>1.96*mgmt!C423</f>
        <v>6.0367999999999998E-2</v>
      </c>
      <c r="EY211" s="14">
        <f>mgmt!D423</f>
        <v>0.18959999999999999</v>
      </c>
      <c r="EZ211" s="14">
        <f>1.96*mgmt!E423</f>
        <v>5.6447999999999998E-2</v>
      </c>
      <c r="FA211" s="14">
        <f>mgmt!F423</f>
        <v>0.18770000000000001</v>
      </c>
      <c r="FB211" s="14">
        <f>1.96*mgmt!G423</f>
        <v>4.1943999999999995E-2</v>
      </c>
      <c r="FC211" s="14">
        <f>mgmt!H423</f>
        <v>1.15E-2</v>
      </c>
      <c r="FD211" s="14">
        <f>1.96*mgmt!I423</f>
        <v>1.1564E-2</v>
      </c>
    </row>
    <row r="212" spans="152:160" x14ac:dyDescent="0.25">
      <c r="EV212" s="7">
        <f>mgmt!$A424</f>
        <v>0.7268</v>
      </c>
      <c r="EW212" s="14">
        <f>mgmt!B424</f>
        <v>0.61119999999999997</v>
      </c>
      <c r="EX212" s="14">
        <f>1.96*mgmt!C424</f>
        <v>6.0367999999999998E-2</v>
      </c>
      <c r="EY212" s="14">
        <f>mgmt!D424</f>
        <v>0.18970000000000001</v>
      </c>
      <c r="EZ212" s="14">
        <f>1.96*mgmt!E424</f>
        <v>5.6447999999999998E-2</v>
      </c>
      <c r="FA212" s="14">
        <f>mgmt!F424</f>
        <v>0.18770000000000001</v>
      </c>
      <c r="FB212" s="14">
        <f>1.96*mgmt!G424</f>
        <v>4.1943999999999995E-2</v>
      </c>
      <c r="FC212" s="14">
        <f>mgmt!H424</f>
        <v>1.15E-2</v>
      </c>
      <c r="FD212" s="14">
        <f>1.96*mgmt!I424</f>
        <v>1.1564E-2</v>
      </c>
    </row>
    <row r="213" spans="152:160" x14ac:dyDescent="0.25">
      <c r="EV213" s="7">
        <f>mgmt!$A425</f>
        <v>0.73</v>
      </c>
      <c r="EW213" s="14">
        <f>mgmt!B425</f>
        <v>0.61040000000000005</v>
      </c>
      <c r="EX213" s="14">
        <f>1.96*mgmt!C425</f>
        <v>6.0955999999999996E-2</v>
      </c>
      <c r="EY213" s="14">
        <f>mgmt!D425</f>
        <v>0.19</v>
      </c>
      <c r="EZ213" s="14">
        <f>1.96*mgmt!E425</f>
        <v>5.7231999999999998E-2</v>
      </c>
      <c r="FA213" s="14">
        <f>mgmt!F425</f>
        <v>0.18820000000000001</v>
      </c>
      <c r="FB213" s="14">
        <f>1.96*mgmt!G425</f>
        <v>4.2335999999999999E-2</v>
      </c>
      <c r="FC213" s="14">
        <f>mgmt!H425</f>
        <v>1.14E-2</v>
      </c>
      <c r="FD213" s="14">
        <f>1.96*mgmt!I425</f>
        <v>1.1564E-2</v>
      </c>
    </row>
    <row r="214" spans="152:160" x14ac:dyDescent="0.25">
      <c r="EV214" s="7">
        <f>mgmt!$A426</f>
        <v>0.73319999999999996</v>
      </c>
      <c r="EW214" s="14">
        <f>mgmt!B426</f>
        <v>0.60960000000000003</v>
      </c>
      <c r="EX214" s="14">
        <f>1.96*mgmt!C426</f>
        <v>6.1543999999999995E-2</v>
      </c>
      <c r="EY214" s="14">
        <f>mgmt!D426</f>
        <v>0.19040000000000001</v>
      </c>
      <c r="EZ214" s="14">
        <f>1.96*mgmt!E426</f>
        <v>5.7819999999999996E-2</v>
      </c>
      <c r="FA214" s="14">
        <f>mgmt!F426</f>
        <v>0.18870000000000001</v>
      </c>
      <c r="FB214" s="14">
        <f>1.96*mgmt!G426</f>
        <v>4.2728000000000002E-2</v>
      </c>
      <c r="FC214" s="14">
        <f>mgmt!H426</f>
        <v>1.1299999999999999E-2</v>
      </c>
      <c r="FD214" s="14">
        <f>1.96*mgmt!I426</f>
        <v>1.1564E-2</v>
      </c>
    </row>
    <row r="215" spans="152:160" x14ac:dyDescent="0.25">
      <c r="EV215" s="7">
        <f>mgmt!$A427</f>
        <v>0.73340000000000005</v>
      </c>
      <c r="EW215" s="14">
        <f>mgmt!B427</f>
        <v>0.60950000000000004</v>
      </c>
      <c r="EX215" s="14">
        <f>1.96*mgmt!C427</f>
        <v>6.1739999999999996E-2</v>
      </c>
      <c r="EY215" s="14">
        <f>mgmt!D427</f>
        <v>0.1905</v>
      </c>
      <c r="EZ215" s="14">
        <f>1.96*mgmt!E427</f>
        <v>5.7819999999999996E-2</v>
      </c>
      <c r="FA215" s="14">
        <f>mgmt!F427</f>
        <v>0.18870000000000001</v>
      </c>
      <c r="FB215" s="14">
        <f>1.96*mgmt!G427</f>
        <v>4.2728000000000002E-2</v>
      </c>
      <c r="FC215" s="14">
        <f>mgmt!H427</f>
        <v>1.1299999999999999E-2</v>
      </c>
      <c r="FD215" s="14">
        <f>1.96*mgmt!I427</f>
        <v>1.1564E-2</v>
      </c>
    </row>
    <row r="216" spans="152:160" x14ac:dyDescent="0.25">
      <c r="EV216" s="7">
        <f>mgmt!$A428</f>
        <v>0.73660000000000003</v>
      </c>
      <c r="EW216" s="14">
        <f>mgmt!B428</f>
        <v>0.60870000000000002</v>
      </c>
      <c r="EX216" s="14">
        <f>1.96*mgmt!C428</f>
        <v>6.2328000000000001E-2</v>
      </c>
      <c r="EY216" s="14">
        <f>mgmt!D428</f>
        <v>0.19089999999999999</v>
      </c>
      <c r="EZ216" s="14">
        <f>1.96*mgmt!E428</f>
        <v>5.8603999999999996E-2</v>
      </c>
      <c r="FA216" s="14">
        <f>mgmt!F428</f>
        <v>0.18920000000000001</v>
      </c>
      <c r="FB216" s="14">
        <f>1.96*mgmt!G428</f>
        <v>4.3119999999999999E-2</v>
      </c>
      <c r="FC216" s="14">
        <f>mgmt!H428</f>
        <v>1.1299999999999999E-2</v>
      </c>
      <c r="FD216" s="14">
        <f>1.96*mgmt!I428</f>
        <v>1.176E-2</v>
      </c>
    </row>
    <row r="217" spans="152:160" x14ac:dyDescent="0.25">
      <c r="EV217" s="7">
        <f>mgmt!$A429</f>
        <v>0.73680000000000001</v>
      </c>
      <c r="EW217" s="14">
        <f>mgmt!B429</f>
        <v>0.60860000000000003</v>
      </c>
      <c r="EX217" s="14">
        <f>1.96*mgmt!C429</f>
        <v>6.2328000000000001E-2</v>
      </c>
      <c r="EY217" s="14">
        <f>mgmt!D429</f>
        <v>0.19089999999999999</v>
      </c>
      <c r="EZ217" s="14">
        <f>1.96*mgmt!E429</f>
        <v>5.8603999999999996E-2</v>
      </c>
      <c r="FA217" s="14">
        <f>mgmt!F429</f>
        <v>0.18920000000000001</v>
      </c>
      <c r="FB217" s="14">
        <f>1.96*mgmt!G429</f>
        <v>4.3119999999999999E-2</v>
      </c>
      <c r="FC217" s="14">
        <f>mgmt!H429</f>
        <v>1.1299999999999999E-2</v>
      </c>
      <c r="FD217" s="14">
        <f>1.96*mgmt!I429</f>
        <v>1.176E-2</v>
      </c>
    </row>
    <row r="218" spans="152:160" x14ac:dyDescent="0.25">
      <c r="EV218" s="7">
        <f>mgmt!$A430</f>
        <v>0.74339999999999995</v>
      </c>
      <c r="EW218" s="14">
        <f>mgmt!B430</f>
        <v>0.60699999999999998</v>
      </c>
      <c r="EX218" s="14">
        <f>1.96*mgmt!C430</f>
        <v>6.3700000000000007E-2</v>
      </c>
      <c r="EY218" s="14">
        <f>mgmt!D430</f>
        <v>0.19170000000000001</v>
      </c>
      <c r="EZ218" s="14">
        <f>1.96*mgmt!E430</f>
        <v>6.0172000000000003E-2</v>
      </c>
      <c r="FA218" s="14">
        <f>mgmt!F430</f>
        <v>0.19020000000000001</v>
      </c>
      <c r="FB218" s="14">
        <f>1.96*mgmt!G430</f>
        <v>4.41E-2</v>
      </c>
      <c r="FC218" s="14">
        <f>mgmt!H430</f>
        <v>1.11E-2</v>
      </c>
      <c r="FD218" s="14">
        <f>1.96*mgmt!I430</f>
        <v>1.176E-2</v>
      </c>
    </row>
    <row r="219" spans="152:160" x14ac:dyDescent="0.25">
      <c r="EV219" s="7">
        <f>mgmt!$A431</f>
        <v>0.74660000000000004</v>
      </c>
      <c r="EW219" s="14">
        <f>mgmt!B431</f>
        <v>0.60619999999999996</v>
      </c>
      <c r="EX219" s="14">
        <f>1.96*mgmt!C431</f>
        <v>6.4287999999999998E-2</v>
      </c>
      <c r="EY219" s="14">
        <f>mgmt!D431</f>
        <v>0.19209999999999999</v>
      </c>
      <c r="EZ219" s="14">
        <f>1.96*mgmt!E431</f>
        <v>6.0955999999999996E-2</v>
      </c>
      <c r="FA219" s="14">
        <f>mgmt!F431</f>
        <v>0.19059999999999999</v>
      </c>
      <c r="FB219" s="14">
        <f>1.96*mgmt!G431</f>
        <v>4.4492000000000004E-2</v>
      </c>
      <c r="FC219" s="14">
        <f>mgmt!H431</f>
        <v>1.11E-2</v>
      </c>
      <c r="FD219" s="14">
        <f>1.96*mgmt!I431</f>
        <v>1.1956000000000001E-2</v>
      </c>
    </row>
    <row r="220" spans="152:160" x14ac:dyDescent="0.25">
      <c r="EV220" s="7">
        <f>mgmt!$A432</f>
        <v>0.74680000000000002</v>
      </c>
      <c r="EW220" s="14">
        <f>mgmt!B432</f>
        <v>0.60609999999999997</v>
      </c>
      <c r="EX220" s="14">
        <f>1.96*mgmt!C432</f>
        <v>6.4484E-2</v>
      </c>
      <c r="EY220" s="14">
        <f>mgmt!D432</f>
        <v>0.19209999999999999</v>
      </c>
      <c r="EZ220" s="14">
        <f>1.96*mgmt!E432</f>
        <v>6.0955999999999996E-2</v>
      </c>
      <c r="FA220" s="14">
        <f>mgmt!F432</f>
        <v>0.19070000000000001</v>
      </c>
      <c r="FB220" s="14">
        <f>1.96*mgmt!G432</f>
        <v>4.4492000000000004E-2</v>
      </c>
      <c r="FC220" s="14">
        <f>mgmt!H432</f>
        <v>1.11E-2</v>
      </c>
      <c r="FD220" s="14">
        <f>1.96*mgmt!I432</f>
        <v>1.1956000000000001E-2</v>
      </c>
    </row>
    <row r="221" spans="152:160" x14ac:dyDescent="0.25">
      <c r="EV221" s="7">
        <f>mgmt!$A433</f>
        <v>0.75</v>
      </c>
      <c r="EW221" s="14">
        <f>mgmt!B433</f>
        <v>0.60529999999999995</v>
      </c>
      <c r="EX221" s="14">
        <f>1.96*mgmt!C433</f>
        <v>6.5072000000000005E-2</v>
      </c>
      <c r="EY221" s="14">
        <f>mgmt!D433</f>
        <v>0.1925</v>
      </c>
      <c r="EZ221" s="14">
        <f>1.96*mgmt!E433</f>
        <v>6.1739999999999996E-2</v>
      </c>
      <c r="FA221" s="14">
        <f>mgmt!F433</f>
        <v>0.19120000000000001</v>
      </c>
      <c r="FB221" s="14">
        <f>1.96*mgmt!G433</f>
        <v>4.4884E-2</v>
      </c>
      <c r="FC221" s="14">
        <f>mgmt!H433</f>
        <v>1.0999999999999999E-2</v>
      </c>
      <c r="FD221" s="14">
        <f>1.96*mgmt!I433</f>
        <v>1.1956000000000001E-2</v>
      </c>
    </row>
    <row r="222" spans="152:160" x14ac:dyDescent="0.25">
      <c r="EV222" s="7">
        <f>mgmt!$A434</f>
        <v>0.75019999999999998</v>
      </c>
      <c r="EW222" s="14">
        <f>mgmt!B434</f>
        <v>0.60529999999999995</v>
      </c>
      <c r="EX222" s="14">
        <f>1.96*mgmt!C434</f>
        <v>6.5072000000000005E-2</v>
      </c>
      <c r="EY222" s="14">
        <f>mgmt!D434</f>
        <v>0.1925</v>
      </c>
      <c r="EZ222" s="14">
        <f>1.96*mgmt!E434</f>
        <v>6.1739999999999996E-2</v>
      </c>
      <c r="FA222" s="14">
        <f>mgmt!F434</f>
        <v>0.19120000000000001</v>
      </c>
      <c r="FB222" s="14">
        <f>1.96*mgmt!G434</f>
        <v>4.4884E-2</v>
      </c>
      <c r="FC222" s="14">
        <f>mgmt!H434</f>
        <v>1.0999999999999999E-2</v>
      </c>
      <c r="FD222" s="14">
        <f>1.96*mgmt!I434</f>
        <v>1.1956000000000001E-2</v>
      </c>
    </row>
    <row r="223" spans="152:160" x14ac:dyDescent="0.25">
      <c r="EV223" s="7">
        <f>mgmt!$A435</f>
        <v>0.76</v>
      </c>
      <c r="EW223" s="14">
        <f>mgmt!B435</f>
        <v>0.6028</v>
      </c>
      <c r="EX223" s="14">
        <f>1.96*mgmt!C435</f>
        <v>6.7227999999999996E-2</v>
      </c>
      <c r="EY223" s="14">
        <f>mgmt!D435</f>
        <v>0.1938</v>
      </c>
      <c r="EZ223" s="14">
        <f>1.96*mgmt!E435</f>
        <v>6.4091999999999996E-2</v>
      </c>
      <c r="FA223" s="14">
        <f>mgmt!F435</f>
        <v>0.19259999999999999</v>
      </c>
      <c r="FB223" s="14">
        <f>1.96*mgmt!G435</f>
        <v>4.6255999999999999E-2</v>
      </c>
      <c r="FC223" s="14">
        <f>mgmt!H435</f>
        <v>1.0800000000000001E-2</v>
      </c>
      <c r="FD223" s="14">
        <f>1.96*mgmt!I435</f>
        <v>1.2152E-2</v>
      </c>
    </row>
    <row r="224" spans="152:160" x14ac:dyDescent="0.25">
      <c r="EV224" s="7">
        <f>mgmt!$A436</f>
        <v>0.76019999999999999</v>
      </c>
      <c r="EW224" s="14">
        <f>mgmt!B436</f>
        <v>0.60270000000000001</v>
      </c>
      <c r="EX224" s="14">
        <f>1.96*mgmt!C436</f>
        <v>6.7227999999999996E-2</v>
      </c>
      <c r="EY224" s="14">
        <f>mgmt!D436</f>
        <v>0.1938</v>
      </c>
      <c r="EZ224" s="14">
        <f>1.96*mgmt!E436</f>
        <v>6.4091999999999996E-2</v>
      </c>
      <c r="FA224" s="14">
        <f>mgmt!F436</f>
        <v>0.19270000000000001</v>
      </c>
      <c r="FB224" s="14">
        <f>1.96*mgmt!G436</f>
        <v>4.6452E-2</v>
      </c>
      <c r="FC224" s="14">
        <f>mgmt!H436</f>
        <v>1.0800000000000001E-2</v>
      </c>
      <c r="FD224" s="14">
        <f>1.96*mgmt!I436</f>
        <v>1.2152E-2</v>
      </c>
    </row>
    <row r="225" spans="152:160" x14ac:dyDescent="0.25">
      <c r="EV225" s="7">
        <f>mgmt!$A437</f>
        <v>0.76339999999999997</v>
      </c>
      <c r="EW225" s="14">
        <f>mgmt!B437</f>
        <v>0.60189999999999999</v>
      </c>
      <c r="EX225" s="14">
        <f>1.96*mgmt!C437</f>
        <v>6.7816000000000001E-2</v>
      </c>
      <c r="EY225" s="14">
        <f>mgmt!D437</f>
        <v>0.19420000000000001</v>
      </c>
      <c r="EZ225" s="14">
        <f>1.96*mgmt!E437</f>
        <v>6.4875999999999989E-2</v>
      </c>
      <c r="FA225" s="14">
        <f>mgmt!F437</f>
        <v>0.19309999999999999</v>
      </c>
      <c r="FB225" s="14">
        <f>1.96*mgmt!G437</f>
        <v>4.6844000000000004E-2</v>
      </c>
      <c r="FC225" s="14">
        <f>mgmt!H437</f>
        <v>1.0800000000000001E-2</v>
      </c>
      <c r="FD225" s="14">
        <f>1.96*mgmt!I437</f>
        <v>1.2152E-2</v>
      </c>
    </row>
    <row r="226" spans="152:160" x14ac:dyDescent="0.25">
      <c r="EV226" s="7">
        <f>mgmt!$A438</f>
        <v>0.76659999999999995</v>
      </c>
      <c r="EW226" s="14">
        <f>mgmt!B438</f>
        <v>0.60109999999999997</v>
      </c>
      <c r="EX226" s="14">
        <f>1.96*mgmt!C438</f>
        <v>6.8600000000000008E-2</v>
      </c>
      <c r="EY226" s="14">
        <f>mgmt!D438</f>
        <v>0.1946</v>
      </c>
      <c r="EZ226" s="14">
        <f>1.96*mgmt!E438</f>
        <v>6.5659999999999996E-2</v>
      </c>
      <c r="FA226" s="14">
        <f>mgmt!F438</f>
        <v>0.19359999999999999</v>
      </c>
      <c r="FB226" s="14">
        <f>1.96*mgmt!G438</f>
        <v>4.7236E-2</v>
      </c>
      <c r="FC226" s="14">
        <f>mgmt!H438</f>
        <v>1.0699999999999999E-2</v>
      </c>
      <c r="FD226" s="14">
        <f>1.96*mgmt!I438</f>
        <v>1.2152E-2</v>
      </c>
    </row>
    <row r="227" spans="152:160" x14ac:dyDescent="0.25">
      <c r="EV227" s="7">
        <f>mgmt!$A439</f>
        <v>0.76680000000000004</v>
      </c>
      <c r="EW227" s="14">
        <f>mgmt!B439</f>
        <v>0.60099999999999998</v>
      </c>
      <c r="EX227" s="14">
        <f>1.96*mgmt!C439</f>
        <v>6.8600000000000008E-2</v>
      </c>
      <c r="EY227" s="14">
        <f>mgmt!D439</f>
        <v>0.1946</v>
      </c>
      <c r="EZ227" s="14">
        <f>1.96*mgmt!E439</f>
        <v>6.5659999999999996E-2</v>
      </c>
      <c r="FA227" s="14">
        <f>mgmt!F439</f>
        <v>0.19359999999999999</v>
      </c>
      <c r="FB227" s="14">
        <f>1.96*mgmt!G439</f>
        <v>4.7236E-2</v>
      </c>
      <c r="FC227" s="14">
        <f>mgmt!H439</f>
        <v>1.0699999999999999E-2</v>
      </c>
      <c r="FD227" s="14">
        <f>1.96*mgmt!I439</f>
        <v>1.2152E-2</v>
      </c>
    </row>
    <row r="228" spans="152:160" x14ac:dyDescent="0.25">
      <c r="EV228" s="7">
        <f>mgmt!$A440</f>
        <v>0.77339999999999998</v>
      </c>
      <c r="EW228" s="14">
        <f>mgmt!B440</f>
        <v>0.59940000000000004</v>
      </c>
      <c r="EX228" s="14">
        <f>1.96*mgmt!C440</f>
        <v>6.9972000000000006E-2</v>
      </c>
      <c r="EY228" s="14">
        <f>mgmt!D440</f>
        <v>0.19539999999999999</v>
      </c>
      <c r="EZ228" s="14">
        <f>1.96*mgmt!E440</f>
        <v>6.7227999999999996E-2</v>
      </c>
      <c r="FA228" s="14">
        <f>mgmt!F440</f>
        <v>0.1946</v>
      </c>
      <c r="FB228" s="14">
        <f>1.96*mgmt!G440</f>
        <v>4.8216000000000002E-2</v>
      </c>
      <c r="FC228" s="14">
        <f>mgmt!H440</f>
        <v>1.06E-2</v>
      </c>
      <c r="FD228" s="14">
        <f>1.96*mgmt!I440</f>
        <v>1.2348E-2</v>
      </c>
    </row>
    <row r="229" spans="152:160" x14ac:dyDescent="0.25">
      <c r="EV229" s="7">
        <f>mgmt!$A441</f>
        <v>0.77659999999999996</v>
      </c>
      <c r="EW229" s="14">
        <f>mgmt!B441</f>
        <v>0.59850000000000003</v>
      </c>
      <c r="EX229" s="14">
        <f>1.96*mgmt!C441</f>
        <v>7.0755999999999999E-2</v>
      </c>
      <c r="EY229" s="14">
        <f>mgmt!D441</f>
        <v>0.1958</v>
      </c>
      <c r="EZ229" s="14">
        <f>1.96*mgmt!E441</f>
        <v>6.8012000000000003E-2</v>
      </c>
      <c r="FA229" s="14">
        <f>mgmt!F441</f>
        <v>0.1951</v>
      </c>
      <c r="FB229" s="14">
        <f>1.96*mgmt!G441</f>
        <v>4.8803999999999993E-2</v>
      </c>
      <c r="FC229" s="14">
        <f>mgmt!H441</f>
        <v>1.0500000000000001E-2</v>
      </c>
      <c r="FD229" s="14">
        <f>1.96*mgmt!I441</f>
        <v>1.2348E-2</v>
      </c>
    </row>
    <row r="230" spans="152:160" x14ac:dyDescent="0.25">
      <c r="EV230" s="7">
        <f>mgmt!$A442</f>
        <v>0.77680000000000005</v>
      </c>
      <c r="EW230" s="14">
        <f>mgmt!B442</f>
        <v>0.59850000000000003</v>
      </c>
      <c r="EX230" s="14">
        <f>1.96*mgmt!C442</f>
        <v>7.0755999999999999E-2</v>
      </c>
      <c r="EY230" s="14">
        <f>mgmt!D442</f>
        <v>0.1958</v>
      </c>
      <c r="EZ230" s="14">
        <f>1.96*mgmt!E442</f>
        <v>6.8207999999999991E-2</v>
      </c>
      <c r="FA230" s="14">
        <f>mgmt!F442</f>
        <v>0.1951</v>
      </c>
      <c r="FB230" s="14">
        <f>1.96*mgmt!G442</f>
        <v>4.8803999999999993E-2</v>
      </c>
      <c r="FC230" s="14">
        <f>mgmt!H442</f>
        <v>1.0500000000000001E-2</v>
      </c>
      <c r="FD230" s="14">
        <f>1.96*mgmt!I442</f>
        <v>1.2348E-2</v>
      </c>
    </row>
    <row r="231" spans="152:160" x14ac:dyDescent="0.25">
      <c r="EV231" s="7">
        <f>mgmt!$A443</f>
        <v>0.78</v>
      </c>
      <c r="EW231" s="14">
        <f>mgmt!B443</f>
        <v>0.59770000000000001</v>
      </c>
      <c r="EX231" s="14">
        <f>1.96*mgmt!C443</f>
        <v>7.1539999999999992E-2</v>
      </c>
      <c r="EY231" s="14">
        <f>mgmt!D443</f>
        <v>0.19620000000000001</v>
      </c>
      <c r="EZ231" s="14">
        <f>1.96*mgmt!E443</f>
        <v>6.8991999999999998E-2</v>
      </c>
      <c r="FA231" s="14">
        <f>mgmt!F443</f>
        <v>0.1956</v>
      </c>
      <c r="FB231" s="14">
        <f>1.96*mgmt!G443</f>
        <v>4.9196000000000004E-2</v>
      </c>
      <c r="FC231" s="14">
        <f>mgmt!H443</f>
        <v>1.0500000000000001E-2</v>
      </c>
      <c r="FD231" s="14">
        <f>1.96*mgmt!I443</f>
        <v>1.2348E-2</v>
      </c>
    </row>
    <row r="232" spans="152:160" x14ac:dyDescent="0.25">
      <c r="EV232" s="7">
        <f>mgmt!$A444</f>
        <v>0.78339999999999999</v>
      </c>
      <c r="EW232" s="14">
        <f>mgmt!B444</f>
        <v>0.5968</v>
      </c>
      <c r="EX232" s="14">
        <f>1.96*mgmt!C444</f>
        <v>7.2323999999999999E-2</v>
      </c>
      <c r="EY232" s="14">
        <f>mgmt!D444</f>
        <v>0.1966</v>
      </c>
      <c r="EZ232" s="14">
        <f>1.96*mgmt!E444</f>
        <v>6.9776000000000005E-2</v>
      </c>
      <c r="FA232" s="14">
        <f>mgmt!F444</f>
        <v>0.1961</v>
      </c>
      <c r="FB232" s="14">
        <f>1.96*mgmt!G444</f>
        <v>4.9783999999999995E-2</v>
      </c>
      <c r="FC232" s="14">
        <f>mgmt!H444</f>
        <v>1.04E-2</v>
      </c>
      <c r="FD232" s="14">
        <f>1.96*mgmt!I444</f>
        <v>1.2544E-2</v>
      </c>
    </row>
    <row r="233" spans="152:160" x14ac:dyDescent="0.25">
      <c r="EV233" s="7">
        <f>mgmt!$A445</f>
        <v>0.78659999999999997</v>
      </c>
      <c r="EW233" s="14">
        <f>mgmt!B445</f>
        <v>0.59599999999999997</v>
      </c>
      <c r="EX233" s="14">
        <f>1.96*mgmt!C445</f>
        <v>7.2911999999999991E-2</v>
      </c>
      <c r="EY233" s="14">
        <f>mgmt!D445</f>
        <v>0.19700000000000001</v>
      </c>
      <c r="EZ233" s="14">
        <f>1.96*mgmt!E445</f>
        <v>7.0559999999999998E-2</v>
      </c>
      <c r="FA233" s="14">
        <f>mgmt!F445</f>
        <v>0.1966</v>
      </c>
      <c r="FB233" s="14">
        <f>1.96*mgmt!G445</f>
        <v>5.0175999999999998E-2</v>
      </c>
      <c r="FC233" s="14">
        <f>mgmt!H445</f>
        <v>1.04E-2</v>
      </c>
      <c r="FD233" s="14">
        <f>1.96*mgmt!I445</f>
        <v>1.2544E-2</v>
      </c>
    </row>
    <row r="234" spans="152:160" x14ac:dyDescent="0.25">
      <c r="EV234" s="7">
        <f>mgmt!$A446</f>
        <v>0.78680000000000005</v>
      </c>
      <c r="EW234" s="14">
        <f>mgmt!B446</f>
        <v>0.59589999999999999</v>
      </c>
      <c r="EX234" s="14">
        <f>1.96*mgmt!C446</f>
        <v>7.2911999999999991E-2</v>
      </c>
      <c r="EY234" s="14">
        <f>mgmt!D446</f>
        <v>0.1971</v>
      </c>
      <c r="EZ234" s="14">
        <f>1.96*mgmt!E446</f>
        <v>7.0559999999999998E-2</v>
      </c>
      <c r="FA234" s="14">
        <f>mgmt!F446</f>
        <v>0.1966</v>
      </c>
      <c r="FB234" s="14">
        <f>1.96*mgmt!G446</f>
        <v>5.0175999999999998E-2</v>
      </c>
      <c r="FC234" s="14">
        <f>mgmt!H446</f>
        <v>1.04E-2</v>
      </c>
      <c r="FD234" s="14">
        <f>1.96*mgmt!I446</f>
        <v>1.2544E-2</v>
      </c>
    </row>
    <row r="235" spans="152:160" x14ac:dyDescent="0.25">
      <c r="EV235" s="7">
        <f>mgmt!$A447</f>
        <v>0.79339999999999999</v>
      </c>
      <c r="EW235" s="14">
        <f>mgmt!B447</f>
        <v>0.59419999999999995</v>
      </c>
      <c r="EX235" s="14">
        <f>1.96*mgmt!C447</f>
        <v>7.4479999999999991E-2</v>
      </c>
      <c r="EY235" s="14">
        <f>mgmt!D447</f>
        <v>0.19789999999999999</v>
      </c>
      <c r="EZ235" s="14">
        <f>1.96*mgmt!E447</f>
        <v>7.2323999999999999E-2</v>
      </c>
      <c r="FA235" s="14">
        <f>mgmt!F447</f>
        <v>0.1976</v>
      </c>
      <c r="FB235" s="14">
        <f>1.96*mgmt!G447</f>
        <v>5.1156E-2</v>
      </c>
      <c r="FC235" s="14">
        <f>mgmt!H447</f>
        <v>1.03E-2</v>
      </c>
      <c r="FD235" s="14">
        <f>1.96*mgmt!I447</f>
        <v>1.274E-2</v>
      </c>
    </row>
    <row r="236" spans="152:160" x14ac:dyDescent="0.25">
      <c r="EV236" s="7">
        <f>mgmt!$A448</f>
        <v>0.8</v>
      </c>
      <c r="EW236" s="14">
        <f>mgmt!B448</f>
        <v>0.59250000000000003</v>
      </c>
      <c r="EX236" s="14">
        <f>1.96*mgmt!C448</f>
        <v>7.5851999999999989E-2</v>
      </c>
      <c r="EY236" s="14">
        <f>mgmt!D448</f>
        <v>0.19869999999999999</v>
      </c>
      <c r="EZ236" s="14">
        <f>1.96*mgmt!E448</f>
        <v>7.4088000000000001E-2</v>
      </c>
      <c r="FA236" s="14">
        <f>mgmt!F448</f>
        <v>0.1986</v>
      </c>
      <c r="FB236" s="14">
        <f>1.96*mgmt!G448</f>
        <v>5.2332000000000004E-2</v>
      </c>
      <c r="FC236" s="14">
        <f>mgmt!H448</f>
        <v>1.01E-2</v>
      </c>
      <c r="FD236" s="14">
        <f>1.96*mgmt!I448</f>
        <v>1.274E-2</v>
      </c>
    </row>
    <row r="237" spans="152:160" x14ac:dyDescent="0.25">
      <c r="EV237" s="7">
        <f>mgmt!$A449</f>
        <v>0.80020000000000002</v>
      </c>
      <c r="EW237" s="14">
        <f>mgmt!B449</f>
        <v>0.59250000000000003</v>
      </c>
      <c r="EX237" s="14">
        <f>1.96*mgmt!C449</f>
        <v>7.6048000000000004E-2</v>
      </c>
      <c r="EY237" s="14">
        <f>mgmt!D449</f>
        <v>0.19869999999999999</v>
      </c>
      <c r="EZ237" s="14">
        <f>1.96*mgmt!E449</f>
        <v>7.4088000000000001E-2</v>
      </c>
      <c r="FA237" s="14">
        <f>mgmt!F449</f>
        <v>0.19869999999999999</v>
      </c>
      <c r="FB237" s="14">
        <f>1.96*mgmt!G449</f>
        <v>5.2332000000000004E-2</v>
      </c>
      <c r="FC237" s="14">
        <f>mgmt!H449</f>
        <v>1.01E-2</v>
      </c>
      <c r="FD237" s="14">
        <f>1.96*mgmt!I449</f>
        <v>1.274E-2</v>
      </c>
    </row>
    <row r="238" spans="152:160" x14ac:dyDescent="0.25">
      <c r="EV238" s="7">
        <f>mgmt!$A450</f>
        <v>0.8034</v>
      </c>
      <c r="EW238" s="14">
        <f>mgmt!B450</f>
        <v>0.59160000000000001</v>
      </c>
      <c r="EX238" s="14">
        <f>1.96*mgmt!C450</f>
        <v>7.663600000000001E-2</v>
      </c>
      <c r="EY238" s="14">
        <f>mgmt!D450</f>
        <v>0.1991</v>
      </c>
      <c r="EZ238" s="14">
        <f>1.96*mgmt!E450</f>
        <v>7.4871999999999994E-2</v>
      </c>
      <c r="FA238" s="14">
        <f>mgmt!F450</f>
        <v>0.1991</v>
      </c>
      <c r="FB238" s="14">
        <f>1.96*mgmt!G450</f>
        <v>5.2724E-2</v>
      </c>
      <c r="FC238" s="14">
        <f>mgmt!H450</f>
        <v>1.01E-2</v>
      </c>
      <c r="FD238" s="14">
        <f>1.96*mgmt!I450</f>
        <v>1.274E-2</v>
      </c>
    </row>
    <row r="239" spans="152:160" x14ac:dyDescent="0.25">
      <c r="EV239" s="7">
        <f>mgmt!$A451</f>
        <v>0.81</v>
      </c>
      <c r="EW239" s="14">
        <f>mgmt!B451</f>
        <v>0.58989999999999998</v>
      </c>
      <c r="EX239" s="14">
        <f>1.96*mgmt!C451</f>
        <v>7.8203999999999996E-2</v>
      </c>
      <c r="EY239" s="14">
        <f>mgmt!D451</f>
        <v>0.19989999999999999</v>
      </c>
      <c r="EZ239" s="14">
        <f>1.96*mgmt!E451</f>
        <v>7.663600000000001E-2</v>
      </c>
      <c r="FA239" s="14">
        <f>mgmt!F451</f>
        <v>0.2001</v>
      </c>
      <c r="FB239" s="14">
        <f>1.96*mgmt!G451</f>
        <v>5.3899999999999997E-2</v>
      </c>
      <c r="FC239" s="14">
        <f>mgmt!H451</f>
        <v>0.01</v>
      </c>
      <c r="FD239" s="14">
        <f>1.96*mgmt!I451</f>
        <v>1.2936E-2</v>
      </c>
    </row>
    <row r="240" spans="152:160" x14ac:dyDescent="0.25">
      <c r="EV240" s="7">
        <f>mgmt!$A452</f>
        <v>0.81340000000000001</v>
      </c>
      <c r="EW240" s="14">
        <f>mgmt!B452</f>
        <v>0.58909999999999996</v>
      </c>
      <c r="EX240" s="14">
        <f>1.96*mgmt!C452</f>
        <v>7.8988000000000003E-2</v>
      </c>
      <c r="EY240" s="14">
        <f>mgmt!D452</f>
        <v>0.20039999999999999</v>
      </c>
      <c r="EZ240" s="14">
        <f>1.96*mgmt!E452</f>
        <v>7.7420000000000003E-2</v>
      </c>
      <c r="FA240" s="14">
        <f>mgmt!F452</f>
        <v>0.20069999999999999</v>
      </c>
      <c r="FB240" s="14">
        <f>1.96*mgmt!G452</f>
        <v>5.4292E-2</v>
      </c>
      <c r="FC240" s="14">
        <f>mgmt!H452</f>
        <v>9.9000000000000008E-3</v>
      </c>
      <c r="FD240" s="14">
        <f>1.96*mgmt!I452</f>
        <v>1.2936E-2</v>
      </c>
    </row>
    <row r="241" spans="152:160" x14ac:dyDescent="0.25">
      <c r="EV241" s="7">
        <f>mgmt!$A453</f>
        <v>0.81659999999999999</v>
      </c>
      <c r="EW241" s="14">
        <f>mgmt!B453</f>
        <v>0.58819999999999995</v>
      </c>
      <c r="EX241" s="14">
        <f>1.96*mgmt!C453</f>
        <v>7.9771999999999996E-2</v>
      </c>
      <c r="EY241" s="14">
        <f>mgmt!D453</f>
        <v>0.20080000000000001</v>
      </c>
      <c r="EZ241" s="14">
        <f>1.96*mgmt!E453</f>
        <v>7.8399999999999997E-2</v>
      </c>
      <c r="FA241" s="14">
        <f>mgmt!F453</f>
        <v>0.2011</v>
      </c>
      <c r="FB241" s="14">
        <f>1.96*mgmt!G453</f>
        <v>5.4879999999999998E-2</v>
      </c>
      <c r="FC241" s="14">
        <f>mgmt!H453</f>
        <v>9.9000000000000008E-3</v>
      </c>
      <c r="FD241" s="14">
        <f>1.96*mgmt!I453</f>
        <v>1.2936E-2</v>
      </c>
    </row>
    <row r="242" spans="152:160" x14ac:dyDescent="0.25">
      <c r="EV242" s="7">
        <f>mgmt!$A454</f>
        <v>0.81679999999999997</v>
      </c>
      <c r="EW242" s="14">
        <f>mgmt!B454</f>
        <v>0.58819999999999995</v>
      </c>
      <c r="EX242" s="14">
        <f>1.96*mgmt!C454</f>
        <v>7.9771999999999996E-2</v>
      </c>
      <c r="EY242" s="14">
        <f>mgmt!D454</f>
        <v>0.20080000000000001</v>
      </c>
      <c r="EZ242" s="14">
        <f>1.96*mgmt!E454</f>
        <v>7.8399999999999997E-2</v>
      </c>
      <c r="FA242" s="14">
        <f>mgmt!F454</f>
        <v>0.20119999999999999</v>
      </c>
      <c r="FB242" s="14">
        <f>1.96*mgmt!G454</f>
        <v>5.4879999999999998E-2</v>
      </c>
      <c r="FC242" s="14">
        <f>mgmt!H454</f>
        <v>9.9000000000000008E-3</v>
      </c>
      <c r="FD242" s="14">
        <f>1.96*mgmt!I454</f>
        <v>1.2936E-2</v>
      </c>
    </row>
    <row r="243" spans="152:160" x14ac:dyDescent="0.25">
      <c r="EV243" s="7">
        <f>mgmt!$A455</f>
        <v>0.8266</v>
      </c>
      <c r="EW243" s="14">
        <f>mgmt!B455</f>
        <v>0.58560000000000001</v>
      </c>
      <c r="EX243" s="14">
        <f>1.96*mgmt!C455</f>
        <v>8.1927999999999987E-2</v>
      </c>
      <c r="EY243" s="14">
        <f>mgmt!D455</f>
        <v>0.20200000000000001</v>
      </c>
      <c r="EZ243" s="14">
        <f>1.96*mgmt!E455</f>
        <v>8.0948000000000006E-2</v>
      </c>
      <c r="FA243" s="14">
        <f>mgmt!F455</f>
        <v>0.20269999999999999</v>
      </c>
      <c r="FB243" s="14">
        <f>1.96*mgmt!G455</f>
        <v>5.6447999999999998E-2</v>
      </c>
      <c r="FC243" s="14">
        <f>mgmt!H455</f>
        <v>9.7000000000000003E-3</v>
      </c>
      <c r="FD243" s="14">
        <f>1.96*mgmt!I455</f>
        <v>1.3132E-2</v>
      </c>
    </row>
    <row r="244" spans="152:160" x14ac:dyDescent="0.25">
      <c r="EV244" s="7">
        <f>mgmt!$A456</f>
        <v>0.82679999999999998</v>
      </c>
      <c r="EW244" s="14">
        <f>mgmt!B456</f>
        <v>0.58560000000000001</v>
      </c>
      <c r="EX244" s="14">
        <f>1.96*mgmt!C456</f>
        <v>8.2124000000000003E-2</v>
      </c>
      <c r="EY244" s="14">
        <f>mgmt!D456</f>
        <v>0.20200000000000001</v>
      </c>
      <c r="EZ244" s="14">
        <f>1.96*mgmt!E456</f>
        <v>8.0948000000000006E-2</v>
      </c>
      <c r="FA244" s="14">
        <f>mgmt!F456</f>
        <v>0.20269999999999999</v>
      </c>
      <c r="FB244" s="14">
        <f>1.96*mgmt!G456</f>
        <v>5.6447999999999998E-2</v>
      </c>
      <c r="FC244" s="14">
        <f>mgmt!H456</f>
        <v>9.7000000000000003E-3</v>
      </c>
      <c r="FD244" s="14">
        <f>1.96*mgmt!I456</f>
        <v>1.3132E-2</v>
      </c>
    </row>
    <row r="245" spans="152:160" x14ac:dyDescent="0.25">
      <c r="EV245" s="7">
        <f>mgmt!$A457</f>
        <v>0.83</v>
      </c>
      <c r="EW245" s="14">
        <f>mgmt!B457</f>
        <v>0.5847</v>
      </c>
      <c r="EX245" s="14">
        <f>1.96*mgmt!C457</f>
        <v>8.2712000000000008E-2</v>
      </c>
      <c r="EY245" s="14">
        <f>mgmt!D457</f>
        <v>0.2024</v>
      </c>
      <c r="EZ245" s="14">
        <f>1.96*mgmt!E457</f>
        <v>8.1927999999999987E-2</v>
      </c>
      <c r="FA245" s="14">
        <f>mgmt!F457</f>
        <v>0.20319999999999999</v>
      </c>
      <c r="FB245" s="14">
        <f>1.96*mgmt!G457</f>
        <v>5.7036000000000003E-2</v>
      </c>
      <c r="FC245" s="14">
        <f>mgmt!H457</f>
        <v>9.5999999999999992E-3</v>
      </c>
      <c r="FD245" s="14">
        <f>1.96*mgmt!I457</f>
        <v>1.3132E-2</v>
      </c>
    </row>
    <row r="246" spans="152:160" x14ac:dyDescent="0.25">
      <c r="EV246" s="7">
        <f>mgmt!$A458</f>
        <v>0.83340000000000003</v>
      </c>
      <c r="EW246" s="14">
        <f>mgmt!B458</f>
        <v>0.58389999999999997</v>
      </c>
      <c r="EX246" s="14">
        <f>1.96*mgmt!C458</f>
        <v>8.3496000000000001E-2</v>
      </c>
      <c r="EY246" s="14">
        <f>mgmt!D458</f>
        <v>0.2029</v>
      </c>
      <c r="EZ246" s="14">
        <f>1.96*mgmt!E458</f>
        <v>8.2712000000000008E-2</v>
      </c>
      <c r="FA246" s="14">
        <f>mgmt!F458</f>
        <v>0.20369999999999999</v>
      </c>
      <c r="FB246" s="14">
        <f>1.96*mgmt!G458</f>
        <v>5.7623999999999995E-2</v>
      </c>
      <c r="FC246" s="14">
        <f>mgmt!H458</f>
        <v>9.5999999999999992E-3</v>
      </c>
      <c r="FD246" s="14">
        <f>1.96*mgmt!I458</f>
        <v>1.3132E-2</v>
      </c>
    </row>
    <row r="247" spans="152:160" x14ac:dyDescent="0.25">
      <c r="EV247" s="7">
        <f>mgmt!$A459</f>
        <v>0.84340000000000004</v>
      </c>
      <c r="EW247" s="14">
        <f>mgmt!B459</f>
        <v>0.58130000000000004</v>
      </c>
      <c r="EX247" s="14">
        <f>1.96*mgmt!C459</f>
        <v>8.5847999999999994E-2</v>
      </c>
      <c r="EY247" s="14">
        <f>mgmt!D459</f>
        <v>0.2041</v>
      </c>
      <c r="EZ247" s="14">
        <f>1.96*mgmt!E459</f>
        <v>8.5456000000000004E-2</v>
      </c>
      <c r="FA247" s="14">
        <f>mgmt!F459</f>
        <v>0.20519999999999999</v>
      </c>
      <c r="FB247" s="14">
        <f>1.96*mgmt!G459</f>
        <v>5.9388000000000003E-2</v>
      </c>
      <c r="FC247" s="14">
        <f>mgmt!H459</f>
        <v>9.4000000000000004E-3</v>
      </c>
      <c r="FD247" s="14">
        <f>1.96*mgmt!I459</f>
        <v>1.3328E-2</v>
      </c>
    </row>
    <row r="248" spans="152:160" x14ac:dyDescent="0.25">
      <c r="EV248" s="7">
        <f>mgmt!$A460</f>
        <v>0.85</v>
      </c>
      <c r="EW248" s="14">
        <f>mgmt!B460</f>
        <v>0.57950000000000002</v>
      </c>
      <c r="EX248" s="14">
        <f>1.96*mgmt!C460</f>
        <v>8.7415999999999994E-2</v>
      </c>
      <c r="EY248" s="14">
        <f>mgmt!D460</f>
        <v>0.2049</v>
      </c>
      <c r="EZ248" s="14">
        <f>1.96*mgmt!E460</f>
        <v>8.7415999999999994E-2</v>
      </c>
      <c r="FA248" s="14">
        <f>mgmt!F460</f>
        <v>0.20619999999999999</v>
      </c>
      <c r="FB248" s="14">
        <f>1.96*mgmt!G460</f>
        <v>6.0367999999999998E-2</v>
      </c>
      <c r="FC248" s="14">
        <f>mgmt!H460</f>
        <v>9.2999999999999992E-3</v>
      </c>
      <c r="FD248" s="14">
        <f>1.96*mgmt!I460</f>
        <v>1.3328E-2</v>
      </c>
    </row>
    <row r="249" spans="152:160" x14ac:dyDescent="0.25">
      <c r="EV249" s="7">
        <f>mgmt!$A461</f>
        <v>0.85340000000000005</v>
      </c>
      <c r="EW249" s="14">
        <f>mgmt!B461</f>
        <v>0.5786</v>
      </c>
      <c r="EX249" s="14">
        <f>1.96*mgmt!C461</f>
        <v>8.8200000000000001E-2</v>
      </c>
      <c r="EY249" s="14">
        <f>mgmt!D461</f>
        <v>0.20530000000000001</v>
      </c>
      <c r="EZ249" s="14">
        <f>1.96*mgmt!E461</f>
        <v>8.8200000000000001E-2</v>
      </c>
      <c r="FA249" s="14">
        <f>mgmt!F461</f>
        <v>0.20680000000000001</v>
      </c>
      <c r="FB249" s="14">
        <f>1.96*mgmt!G461</f>
        <v>6.0955999999999996E-2</v>
      </c>
      <c r="FC249" s="14">
        <f>mgmt!H461</f>
        <v>9.2999999999999992E-3</v>
      </c>
      <c r="FD249" s="14">
        <f>1.96*mgmt!I461</f>
        <v>1.3524E-2</v>
      </c>
    </row>
    <row r="250" spans="152:160" x14ac:dyDescent="0.25">
      <c r="EV250" s="7">
        <f>mgmt!$A462</f>
        <v>0.86</v>
      </c>
      <c r="EW250" s="14">
        <f>mgmt!B462</f>
        <v>0.57689999999999997</v>
      </c>
      <c r="EX250" s="14">
        <f>1.96*mgmt!C462</f>
        <v>8.9768000000000001E-2</v>
      </c>
      <c r="EY250" s="14">
        <f>mgmt!D462</f>
        <v>0.20619999999999999</v>
      </c>
      <c r="EZ250" s="14">
        <f>1.96*mgmt!E462</f>
        <v>9.015999999999999E-2</v>
      </c>
      <c r="FA250" s="14">
        <f>mgmt!F462</f>
        <v>0.20780000000000001</v>
      </c>
      <c r="FB250" s="14">
        <f>1.96*mgmt!G462</f>
        <v>6.2132E-2</v>
      </c>
      <c r="FC250" s="14">
        <f>mgmt!H462</f>
        <v>9.1999999999999998E-3</v>
      </c>
      <c r="FD250" s="14">
        <f>1.96*mgmt!I462</f>
        <v>1.3524E-2</v>
      </c>
    </row>
    <row r="251" spans="152:160" x14ac:dyDescent="0.25">
      <c r="EV251" s="7">
        <f>mgmt!$A463</f>
        <v>0.86660000000000004</v>
      </c>
      <c r="EW251" s="14">
        <f>mgmt!B463</f>
        <v>0.57520000000000004</v>
      </c>
      <c r="EX251" s="14">
        <f>1.96*mgmt!C463</f>
        <v>9.1336000000000001E-2</v>
      </c>
      <c r="EY251" s="14">
        <f>mgmt!D463</f>
        <v>0.20699999999999999</v>
      </c>
      <c r="EZ251" s="14">
        <f>1.96*mgmt!E463</f>
        <v>9.1923999999999992E-2</v>
      </c>
      <c r="FA251" s="14">
        <f>mgmt!F463</f>
        <v>0.20880000000000001</v>
      </c>
      <c r="FB251" s="14">
        <f>1.96*mgmt!G463</f>
        <v>6.3308000000000003E-2</v>
      </c>
      <c r="FC251" s="14">
        <f>mgmt!H463</f>
        <v>9.1000000000000004E-3</v>
      </c>
      <c r="FD251" s="14">
        <f>1.96*mgmt!I463</f>
        <v>1.3524E-2</v>
      </c>
    </row>
    <row r="252" spans="152:160" x14ac:dyDescent="0.25">
      <c r="EV252" s="7">
        <f>mgmt!$A464</f>
        <v>0.86680000000000001</v>
      </c>
      <c r="EW252" s="14">
        <f>mgmt!B464</f>
        <v>0.57509999999999994</v>
      </c>
      <c r="EX252" s="14">
        <f>1.96*mgmt!C464</f>
        <v>9.1532000000000002E-2</v>
      </c>
      <c r="EY252" s="14">
        <f>mgmt!D464</f>
        <v>0.20699999999999999</v>
      </c>
      <c r="EZ252" s="14">
        <f>1.96*mgmt!E464</f>
        <v>9.1923999999999992E-2</v>
      </c>
      <c r="FA252" s="14">
        <f>mgmt!F464</f>
        <v>0.20880000000000001</v>
      </c>
      <c r="FB252" s="14">
        <f>1.96*mgmt!G464</f>
        <v>6.3308000000000003E-2</v>
      </c>
      <c r="FC252" s="14">
        <f>mgmt!H464</f>
        <v>9.1000000000000004E-3</v>
      </c>
      <c r="FD252" s="14">
        <f>1.96*mgmt!I464</f>
        <v>1.3524E-2</v>
      </c>
    </row>
    <row r="253" spans="152:160" x14ac:dyDescent="0.25">
      <c r="EV253" s="7">
        <f>mgmt!$A465</f>
        <v>0.87</v>
      </c>
      <c r="EW253" s="14">
        <f>mgmt!B465</f>
        <v>0.57430000000000003</v>
      </c>
      <c r="EX253" s="14">
        <f>1.96*mgmt!C465</f>
        <v>9.2316000000000009E-2</v>
      </c>
      <c r="EY253" s="14">
        <f>mgmt!D465</f>
        <v>0.2074</v>
      </c>
      <c r="EZ253" s="14">
        <f>1.96*mgmt!E465</f>
        <v>9.2904E-2</v>
      </c>
      <c r="FA253" s="14">
        <f>mgmt!F465</f>
        <v>0.20930000000000001</v>
      </c>
      <c r="FB253" s="14">
        <f>1.96*mgmt!G465</f>
        <v>6.3895999999999994E-2</v>
      </c>
      <c r="FC253" s="14">
        <f>mgmt!H465</f>
        <v>8.9999999999999993E-3</v>
      </c>
      <c r="FD253" s="14">
        <f>1.96*mgmt!I465</f>
        <v>1.372E-2</v>
      </c>
    </row>
    <row r="254" spans="152:160" x14ac:dyDescent="0.25">
      <c r="EV254" s="7">
        <f>mgmt!$A466</f>
        <v>0.88</v>
      </c>
      <c r="EW254" s="14">
        <f>mgmt!B466</f>
        <v>0.5716</v>
      </c>
      <c r="EX254" s="14">
        <f>1.96*mgmt!C466</f>
        <v>9.4668000000000002E-2</v>
      </c>
      <c r="EY254" s="14">
        <f>mgmt!D466</f>
        <v>0.2087</v>
      </c>
      <c r="EZ254" s="14">
        <f>1.96*mgmt!E466</f>
        <v>9.5648000000000011E-2</v>
      </c>
      <c r="FA254" s="14">
        <f>mgmt!F466</f>
        <v>0.21079999999999999</v>
      </c>
      <c r="FB254" s="14">
        <f>1.96*mgmt!G466</f>
        <v>6.5659999999999996E-2</v>
      </c>
      <c r="FC254" s="14">
        <f>mgmt!H466</f>
        <v>8.8999999999999999E-3</v>
      </c>
      <c r="FD254" s="14">
        <f>1.96*mgmt!I466</f>
        <v>1.372E-2</v>
      </c>
    </row>
    <row r="255" spans="152:160" x14ac:dyDescent="0.25">
      <c r="EV255" s="7">
        <f>mgmt!$A467</f>
        <v>0.88339999999999996</v>
      </c>
      <c r="EW255" s="14">
        <f>mgmt!B467</f>
        <v>0.57069999999999999</v>
      </c>
      <c r="EX255" s="14">
        <f>1.96*mgmt!C467</f>
        <v>9.5451999999999995E-2</v>
      </c>
      <c r="EY255" s="14">
        <f>mgmt!D467</f>
        <v>0.20910000000000001</v>
      </c>
      <c r="EZ255" s="14">
        <f>1.96*mgmt!E467</f>
        <v>9.6627999999999992E-2</v>
      </c>
      <c r="FA255" s="14">
        <f>mgmt!F467</f>
        <v>0.2114</v>
      </c>
      <c r="FB255" s="14">
        <f>1.96*mgmt!G467</f>
        <v>6.6247999999999987E-2</v>
      </c>
      <c r="FC255" s="14">
        <f>mgmt!H467</f>
        <v>8.8000000000000005E-3</v>
      </c>
      <c r="FD255" s="14">
        <f>1.96*mgmt!I467</f>
        <v>1.372E-2</v>
      </c>
    </row>
    <row r="256" spans="152:160" x14ac:dyDescent="0.25">
      <c r="EV256" s="7">
        <f>mgmt!$A468</f>
        <v>0.89339999999999997</v>
      </c>
      <c r="EW256" s="14">
        <f>mgmt!B468</f>
        <v>0.56810000000000005</v>
      </c>
      <c r="EX256" s="14">
        <f>1.96*mgmt!C468</f>
        <v>9.7804000000000002E-2</v>
      </c>
      <c r="EY256" s="14">
        <f>mgmt!D468</f>
        <v>0.21029999999999999</v>
      </c>
      <c r="EZ256" s="14">
        <f>1.96*mgmt!E468</f>
        <v>9.956799999999999E-2</v>
      </c>
      <c r="FA256" s="14">
        <f>mgmt!F468</f>
        <v>0.21290000000000001</v>
      </c>
      <c r="FB256" s="14">
        <f>1.96*mgmt!G468</f>
        <v>6.8207999999999991E-2</v>
      </c>
      <c r="FC256" s="14">
        <f>mgmt!H468</f>
        <v>8.6999999999999994E-3</v>
      </c>
      <c r="FD256" s="14">
        <f>1.96*mgmt!I468</f>
        <v>1.3916000000000001E-2</v>
      </c>
    </row>
    <row r="257" spans="152:160" x14ac:dyDescent="0.25">
      <c r="EV257" s="7">
        <f>mgmt!$A469</f>
        <v>0.9</v>
      </c>
      <c r="EW257" s="14">
        <f>mgmt!B469</f>
        <v>0.56630000000000003</v>
      </c>
      <c r="EX257" s="14">
        <f>1.96*mgmt!C469</f>
        <v>9.956799999999999E-2</v>
      </c>
      <c r="EY257" s="14">
        <f>mgmt!D469</f>
        <v>0.2112</v>
      </c>
      <c r="EZ257" s="14">
        <f>1.96*mgmt!E469</f>
        <v>0.10152799999999999</v>
      </c>
      <c r="FA257" s="14">
        <f>mgmt!F469</f>
        <v>0.21390000000000001</v>
      </c>
      <c r="FB257" s="14">
        <f>1.96*mgmt!G469</f>
        <v>6.9384000000000001E-2</v>
      </c>
      <c r="FC257" s="14">
        <f>mgmt!H469</f>
        <v>8.6E-3</v>
      </c>
      <c r="FD257" s="14">
        <f>1.96*mgmt!I469</f>
        <v>1.3916000000000001E-2</v>
      </c>
    </row>
    <row r="258" spans="152:160" x14ac:dyDescent="0.25">
      <c r="EV258" s="7">
        <f>mgmt!$A470</f>
        <v>0.91</v>
      </c>
      <c r="EW258" s="14">
        <f>mgmt!B470</f>
        <v>0.56369999999999998</v>
      </c>
      <c r="EX258" s="14">
        <f>1.96*mgmt!C470</f>
        <v>0.10192</v>
      </c>
      <c r="EY258" s="14">
        <f>mgmt!D470</f>
        <v>0.21240000000000001</v>
      </c>
      <c r="EZ258" s="14">
        <f>1.96*mgmt!E470</f>
        <v>0.10446800000000001</v>
      </c>
      <c r="FA258" s="14">
        <f>mgmt!F470</f>
        <v>0.2155</v>
      </c>
      <c r="FB258" s="14">
        <f>1.96*mgmt!G470</f>
        <v>7.1148000000000003E-2</v>
      </c>
      <c r="FC258" s="14">
        <f>mgmt!H470</f>
        <v>8.3999999999999995E-3</v>
      </c>
      <c r="FD258" s="14">
        <f>1.96*mgmt!I470</f>
        <v>1.3916000000000001E-2</v>
      </c>
    </row>
    <row r="259" spans="152:160" x14ac:dyDescent="0.25">
      <c r="EV259" s="7">
        <f>mgmt!$A471</f>
        <v>0.93340000000000001</v>
      </c>
      <c r="EW259" s="14">
        <f>mgmt!B471</f>
        <v>0.55740000000000001</v>
      </c>
      <c r="EX259" s="14">
        <f>1.96*mgmt!C471</f>
        <v>0.10760399999999999</v>
      </c>
      <c r="EY259" s="14">
        <f>mgmt!D471</f>
        <v>0.21529999999999999</v>
      </c>
      <c r="EZ259" s="14">
        <f>1.96*mgmt!E471</f>
        <v>0.11132800000000001</v>
      </c>
      <c r="FA259" s="14">
        <f>mgmt!F471</f>
        <v>0.21920000000000001</v>
      </c>
      <c r="FB259" s="14">
        <f>1.96*mgmt!G471</f>
        <v>7.5656000000000001E-2</v>
      </c>
      <c r="FC259" s="14">
        <f>mgmt!H471</f>
        <v>8.0999999999999996E-3</v>
      </c>
      <c r="FD259" s="14">
        <f>1.96*mgmt!I471</f>
        <v>1.4112E-2</v>
      </c>
    </row>
    <row r="260" spans="152:160" x14ac:dyDescent="0.25">
      <c r="EV260" s="7">
        <f>mgmt!$A472</f>
        <v>0.95</v>
      </c>
      <c r="EW260" s="14">
        <f>mgmt!B472</f>
        <v>0.55300000000000005</v>
      </c>
      <c r="EX260" s="14">
        <f>1.96*mgmt!C472</f>
        <v>0.11172</v>
      </c>
      <c r="EY260" s="14">
        <f>mgmt!D472</f>
        <v>0.21740000000000001</v>
      </c>
      <c r="EZ260" s="14">
        <f>1.96*mgmt!E472</f>
        <v>0.116424</v>
      </c>
      <c r="FA260" s="14">
        <f>mgmt!F472</f>
        <v>0.2218</v>
      </c>
      <c r="FB260" s="14">
        <f>1.96*mgmt!G472</f>
        <v>7.8988000000000003E-2</v>
      </c>
      <c r="FC260" s="14">
        <f>mgmt!H472</f>
        <v>7.9000000000000008E-3</v>
      </c>
      <c r="FD260" s="14">
        <f>1.96*mgmt!I472</f>
        <v>1.4308E-2</v>
      </c>
    </row>
    <row r="261" spans="152:160" x14ac:dyDescent="0.25">
      <c r="EV261" s="7">
        <f>mgmt!$A473</f>
        <v>0.96</v>
      </c>
      <c r="EW261" s="14">
        <f>mgmt!B473</f>
        <v>0.55030000000000001</v>
      </c>
      <c r="EX261" s="14">
        <f>1.96*mgmt!C473</f>
        <v>0.11426799999999999</v>
      </c>
      <c r="EY261" s="14">
        <f>mgmt!D473</f>
        <v>0.21859999999999999</v>
      </c>
      <c r="EZ261" s="14">
        <f>1.96*mgmt!E473</f>
        <v>0.11956</v>
      </c>
      <c r="FA261" s="14">
        <f>mgmt!F473</f>
        <v>0.2233</v>
      </c>
      <c r="FB261" s="14">
        <f>1.96*mgmt!G473</f>
        <v>8.0948000000000006E-2</v>
      </c>
      <c r="FC261" s="14">
        <f>mgmt!H473</f>
        <v>7.7000000000000002E-3</v>
      </c>
      <c r="FD261" s="14">
        <f>1.96*mgmt!I473</f>
        <v>1.4308E-2</v>
      </c>
    </row>
    <row r="262" spans="152:160" x14ac:dyDescent="0.25">
      <c r="EV262" s="7">
        <f>mgmt!$A474</f>
        <v>1</v>
      </c>
      <c r="EW262" s="14">
        <f>mgmt!B474</f>
        <v>0.53949999999999998</v>
      </c>
      <c r="EX262" s="14">
        <f>1.96*mgmt!C474</f>
        <v>0.124264</v>
      </c>
      <c r="EY262" s="14">
        <f>mgmt!D474</f>
        <v>0.22359999999999999</v>
      </c>
      <c r="EZ262" s="14">
        <f>1.96*mgmt!E474</f>
        <v>0.131908</v>
      </c>
      <c r="FA262" s="14">
        <f>mgmt!F474</f>
        <v>0.22969999999999999</v>
      </c>
      <c r="FB262" s="14">
        <f>1.96*mgmt!G474</f>
        <v>8.9375999999999997E-2</v>
      </c>
      <c r="FC262" s="14">
        <f>mgmt!H474</f>
        <v>7.1999999999999998E-3</v>
      </c>
      <c r="FD262" s="14">
        <f>1.96*mgmt!I474</f>
        <v>1.4504E-2</v>
      </c>
    </row>
    <row r="263" spans="152:160" x14ac:dyDescent="0.25">
      <c r="EV263" s="7"/>
      <c r="EW263" s="14"/>
      <c r="EX263" s="14"/>
      <c r="EY263" s="14"/>
      <c r="EZ263" s="14"/>
      <c r="FA263" s="14"/>
      <c r="FB263" s="14"/>
      <c r="FC263" s="14"/>
      <c r="FD263" s="14"/>
    </row>
    <row r="264" spans="152:160" x14ac:dyDescent="0.25">
      <c r="EV264" s="7"/>
      <c r="EW264" s="14"/>
      <c r="EX264" s="14"/>
      <c r="EY264" s="14"/>
      <c r="EZ264" s="14"/>
      <c r="FA264" s="14"/>
      <c r="FB264" s="14"/>
      <c r="FC264" s="14"/>
      <c r="FD264" s="14"/>
    </row>
    <row r="265" spans="152:160" x14ac:dyDescent="0.25">
      <c r="EV265" s="7"/>
      <c r="EW265" s="14"/>
      <c r="EX265" s="14"/>
      <c r="EY265" s="14"/>
      <c r="EZ265" s="14"/>
      <c r="FA265" s="14"/>
      <c r="FB265" s="14"/>
      <c r="FC265" s="14"/>
      <c r="FD265" s="14"/>
    </row>
    <row r="266" spans="152:160" x14ac:dyDescent="0.25">
      <c r="EV266" s="7"/>
      <c r="EW266" s="14"/>
      <c r="EX266" s="14"/>
      <c r="EY266" s="14"/>
      <c r="EZ266" s="14"/>
      <c r="FA266" s="14"/>
      <c r="FB266" s="14"/>
      <c r="FC266" s="14"/>
      <c r="FD266" s="14"/>
    </row>
    <row r="267" spans="152:160" x14ac:dyDescent="0.25">
      <c r="EV267" s="7"/>
      <c r="EW267" s="14"/>
      <c r="EX267" s="14"/>
      <c r="EY267" s="14"/>
      <c r="EZ267" s="14"/>
      <c r="FA267" s="14"/>
      <c r="FB267" s="14"/>
      <c r="FC267" s="14"/>
      <c r="FD267" s="14"/>
    </row>
    <row r="268" spans="152:160" x14ac:dyDescent="0.25">
      <c r="EV268" s="7"/>
      <c r="EW268" s="14"/>
      <c r="EX268" s="14"/>
      <c r="EY268" s="14"/>
      <c r="EZ268" s="14"/>
      <c r="FA268" s="14"/>
      <c r="FB268" s="14"/>
      <c r="FC268" s="14"/>
      <c r="FD268" s="14"/>
    </row>
    <row r="269" spans="152:160" x14ac:dyDescent="0.25">
      <c r="EV269" s="7"/>
      <c r="EW269" s="14"/>
      <c r="EX269" s="14"/>
      <c r="EY269" s="14"/>
      <c r="EZ269" s="14"/>
      <c r="FA269" s="14"/>
      <c r="FB269" s="14"/>
      <c r="FC269" s="14"/>
      <c r="FD269" s="14"/>
    </row>
    <row r="270" spans="152:160" x14ac:dyDescent="0.25">
      <c r="EV270" s="7"/>
      <c r="EW270" s="14"/>
      <c r="EX270" s="14"/>
      <c r="EY270" s="14"/>
      <c r="EZ270" s="14"/>
      <c r="FA270" s="14"/>
      <c r="FB270" s="14"/>
      <c r="FC270" s="14"/>
      <c r="FD270" s="14"/>
    </row>
    <row r="271" spans="152:160" x14ac:dyDescent="0.25">
      <c r="EV271" s="7"/>
      <c r="EW271" s="14"/>
      <c r="EX271" s="14"/>
      <c r="EY271" s="14"/>
      <c r="EZ271" s="14"/>
      <c r="FA271" s="14"/>
      <c r="FB271" s="14"/>
      <c r="FC271" s="14"/>
      <c r="FD271" s="14"/>
    </row>
    <row r="272" spans="152:160" x14ac:dyDescent="0.25">
      <c r="EV272" s="7"/>
      <c r="EW272" s="14"/>
      <c r="EX272" s="14"/>
      <c r="EY272" s="14"/>
      <c r="EZ272" s="14"/>
      <c r="FA272" s="14"/>
      <c r="FB272" s="14"/>
      <c r="FC272" s="14"/>
      <c r="FD272" s="14"/>
    </row>
    <row r="273" spans="152:160" x14ac:dyDescent="0.25">
      <c r="EV273" s="7"/>
      <c r="EW273" s="14"/>
      <c r="EX273" s="14"/>
      <c r="EY273" s="14"/>
      <c r="EZ273" s="14"/>
      <c r="FA273" s="14"/>
      <c r="FB273" s="14"/>
      <c r="FC273" s="14"/>
      <c r="FD273" s="14"/>
    </row>
    <row r="274" spans="152:160" x14ac:dyDescent="0.25">
      <c r="EV274" s="7"/>
      <c r="EW274" s="14"/>
      <c r="EX274" s="14"/>
      <c r="EY274" s="14"/>
      <c r="EZ274" s="14"/>
      <c r="FA274" s="14"/>
      <c r="FB274" s="14"/>
      <c r="FC274" s="14"/>
      <c r="FD274" s="14"/>
    </row>
    <row r="275" spans="152:160" x14ac:dyDescent="0.25">
      <c r="EV275" s="7"/>
      <c r="EW275" s="14"/>
      <c r="EX275" s="14"/>
      <c r="EY275" s="14"/>
      <c r="EZ275" s="14"/>
      <c r="FA275" s="14"/>
      <c r="FB275" s="14"/>
      <c r="FC275" s="14"/>
      <c r="FD275" s="14"/>
    </row>
    <row r="276" spans="152:160" x14ac:dyDescent="0.25">
      <c r="EV276" s="7"/>
      <c r="EW276" s="14"/>
      <c r="EX276" s="14"/>
      <c r="EY276" s="14"/>
      <c r="EZ276" s="14"/>
      <c r="FA276" s="14"/>
      <c r="FB276" s="14"/>
      <c r="FC276" s="14"/>
      <c r="FD276" s="14"/>
    </row>
    <row r="277" spans="152:160" x14ac:dyDescent="0.25">
      <c r="EV277" s="7"/>
      <c r="EW277" s="14"/>
      <c r="EX277" s="14"/>
      <c r="EY277" s="14"/>
      <c r="EZ277" s="14"/>
      <c r="FA277" s="14"/>
      <c r="FB277" s="14"/>
      <c r="FC277" s="14"/>
      <c r="FD277" s="14"/>
    </row>
    <row r="278" spans="152:160" x14ac:dyDescent="0.25">
      <c r="EV278" s="7"/>
      <c r="EW278" s="14"/>
      <c r="EX278" s="14"/>
      <c r="EY278" s="14"/>
      <c r="EZ278" s="14"/>
      <c r="FA278" s="14"/>
      <c r="FB278" s="14"/>
      <c r="FC278" s="14"/>
      <c r="FD278" s="14"/>
    </row>
  </sheetData>
  <sortState xmlns:xlrd2="http://schemas.microsoft.com/office/spreadsheetml/2017/richdata2" ref="S53:W62">
    <sortCondition ref="W53:W62"/>
  </sortState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24"/>
  <sheetViews>
    <sheetView topLeftCell="A198" workbookViewId="0">
      <selection activeCell="C147" sqref="C147"/>
    </sheetView>
  </sheetViews>
  <sheetFormatPr defaultRowHeight="15" x14ac:dyDescent="0.25"/>
  <cols>
    <col min="1" max="1" width="29.7109375" bestFit="1" customWidth="1"/>
    <col min="2" max="2" width="12.5703125" bestFit="1" customWidth="1"/>
    <col min="3" max="4" width="9.5703125" bestFit="1" customWidth="1"/>
    <col min="5" max="5" width="9.140625" bestFit="1" customWidth="1"/>
    <col min="6" max="6" width="9.5703125" bestFit="1" customWidth="1"/>
    <col min="7" max="7" width="7.28515625" bestFit="1" customWidth="1"/>
    <col min="9" max="9" width="6.5703125" bestFit="1" customWidth="1"/>
    <col min="10" max="10" width="8.5703125" bestFit="1" customWidth="1"/>
    <col min="11" max="11" width="9.5703125" bestFit="1" customWidth="1"/>
    <col min="15" max="15" width="9.42578125" bestFit="1" customWidth="1"/>
  </cols>
  <sheetData>
    <row r="1" spans="1:6" ht="37.5" x14ac:dyDescent="0.25">
      <c r="A1" s="1" t="s">
        <v>122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13400</v>
      </c>
      <c r="C5" s="2"/>
      <c r="D5" s="2"/>
      <c r="E5" s="2"/>
      <c r="F5" s="2"/>
    </row>
    <row r="6" spans="1:6" x14ac:dyDescent="0.25">
      <c r="A6" s="3" t="s">
        <v>2</v>
      </c>
      <c r="B6" s="2">
        <v>18</v>
      </c>
      <c r="C6" s="2"/>
      <c r="D6" s="2"/>
      <c r="E6" s="2"/>
      <c r="F6" s="2"/>
    </row>
    <row r="7" spans="1:6" x14ac:dyDescent="0.25">
      <c r="A7" s="3" t="s">
        <v>3</v>
      </c>
      <c r="B7" s="2">
        <v>8.7100000000000009</v>
      </c>
      <c r="C7" s="2"/>
      <c r="D7" s="2"/>
      <c r="E7" s="2"/>
      <c r="F7" s="2"/>
    </row>
    <row r="8" spans="1:6" x14ac:dyDescent="0.25">
      <c r="A8" s="3" t="s">
        <v>4</v>
      </c>
      <c r="B8" s="2">
        <v>8.7100000000000009</v>
      </c>
      <c r="C8" s="2"/>
      <c r="D8" s="2"/>
      <c r="E8" s="2"/>
      <c r="F8" s="2"/>
    </row>
    <row r="9" spans="1:6" x14ac:dyDescent="0.25">
      <c r="A9" s="3" t="s">
        <v>5</v>
      </c>
      <c r="B9" s="2">
        <v>98839</v>
      </c>
      <c r="C9" s="2"/>
      <c r="D9" s="2"/>
      <c r="E9" s="2"/>
      <c r="F9" s="2"/>
    </row>
    <row r="10" spans="1:6" x14ac:dyDescent="0.25">
      <c r="A10" s="3" t="s">
        <v>6</v>
      </c>
      <c r="B10" s="2">
        <v>98839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-12377.0067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-12377.0067</v>
      </c>
      <c r="C27" s="2"/>
      <c r="D27" s="2"/>
      <c r="E27" s="2"/>
      <c r="F27" s="2"/>
    </row>
    <row r="28" spans="1:6" x14ac:dyDescent="0.25">
      <c r="A28" s="3" t="s">
        <v>24</v>
      </c>
      <c r="B28" s="2">
        <v>24925.067500000001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24790.0134</v>
      </c>
      <c r="C29" s="2"/>
      <c r="D29" s="2"/>
      <c r="E29" s="2"/>
      <c r="F29" s="2"/>
    </row>
    <row r="30" spans="1:6" x14ac:dyDescent="0.25">
      <c r="A30" s="3" t="s">
        <v>26</v>
      </c>
      <c r="B30" s="2">
        <v>24808.0134</v>
      </c>
      <c r="C30" s="2"/>
      <c r="D30" s="2"/>
      <c r="E30" s="2"/>
      <c r="F30" s="2"/>
    </row>
    <row r="31" spans="1:6" x14ac:dyDescent="0.25">
      <c r="A31" s="3" t="s">
        <v>27</v>
      </c>
      <c r="B31" s="2">
        <v>24943.067500000001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24867.8652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0.34279999999999999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1.6500000000000001E-2</v>
      </c>
      <c r="C38" s="2"/>
      <c r="D38" s="2"/>
      <c r="E38" s="2"/>
      <c r="F38" s="2"/>
    </row>
    <row r="39" spans="1:6" x14ac:dyDescent="0.25">
      <c r="A39" s="3" t="s">
        <v>33</v>
      </c>
      <c r="B39" s="2">
        <v>1.14E-2</v>
      </c>
      <c r="C39" s="2"/>
      <c r="D39" s="2"/>
      <c r="E39" s="2"/>
      <c r="F39" s="2"/>
    </row>
    <row r="40" spans="1:6" x14ac:dyDescent="0.25">
      <c r="A40" s="3" t="s">
        <v>34</v>
      </c>
      <c r="B40" s="2">
        <v>-24699.563399999999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12322.556699999999</v>
      </c>
      <c r="C41" s="2"/>
      <c r="D41" s="2"/>
      <c r="E41" s="2"/>
      <c r="F41" s="2"/>
    </row>
    <row r="42" spans="1:6" x14ac:dyDescent="0.25">
      <c r="A42" s="3" t="s">
        <v>36</v>
      </c>
      <c r="B42" s="2">
        <v>49399.126700000001</v>
      </c>
      <c r="C42" s="2"/>
      <c r="D42" s="2"/>
      <c r="E42" s="2"/>
      <c r="F42" s="2"/>
    </row>
    <row r="43" spans="1:6" x14ac:dyDescent="0.25">
      <c r="A43" s="3" t="s">
        <v>37</v>
      </c>
      <c r="B43" s="2">
        <v>49795.235099999998</v>
      </c>
      <c r="C43" s="2"/>
      <c r="D43" s="2"/>
      <c r="E43" s="2"/>
      <c r="F43" s="2"/>
    </row>
    <row r="44" spans="1:6" x14ac:dyDescent="0.25">
      <c r="A44" s="3" t="s">
        <v>38</v>
      </c>
      <c r="B44" s="2">
        <v>49570.180899999999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8806.5157999999992</v>
      </c>
      <c r="C48" s="2">
        <v>0</v>
      </c>
      <c r="D48" s="2">
        <v>0</v>
      </c>
      <c r="E48" s="2">
        <v>0</v>
      </c>
      <c r="F48" s="2">
        <v>8806.5157999999992</v>
      </c>
    </row>
    <row r="49" spans="1:6" x14ac:dyDescent="0.25">
      <c r="A49" s="3" t="s">
        <v>43</v>
      </c>
      <c r="B49" s="2">
        <v>2225.1707999999999</v>
      </c>
      <c r="C49" s="2">
        <v>0</v>
      </c>
      <c r="D49" s="2">
        <v>0</v>
      </c>
      <c r="E49" s="2">
        <v>0</v>
      </c>
      <c r="F49" s="2">
        <v>2225.1707999999999</v>
      </c>
    </row>
    <row r="50" spans="1:6" x14ac:dyDescent="0.25">
      <c r="A50" s="3" t="s">
        <v>44</v>
      </c>
      <c r="B50" s="2">
        <v>2147.8040999999998</v>
      </c>
      <c r="C50" s="2">
        <v>0</v>
      </c>
      <c r="D50" s="2">
        <v>0</v>
      </c>
      <c r="E50" s="2">
        <v>0</v>
      </c>
      <c r="F50" s="2">
        <v>2147.8040999999998</v>
      </c>
    </row>
    <row r="51" spans="1:6" x14ac:dyDescent="0.25">
      <c r="A51" s="3" t="s">
        <v>45</v>
      </c>
      <c r="B51" s="2">
        <v>220.5093</v>
      </c>
      <c r="C51" s="2">
        <v>0</v>
      </c>
      <c r="D51" s="2">
        <v>0</v>
      </c>
      <c r="E51" s="2">
        <v>0</v>
      </c>
      <c r="F51" s="2">
        <v>220.5093</v>
      </c>
    </row>
    <row r="52" spans="1:6" x14ac:dyDescent="0.25">
      <c r="A52" s="3" t="s">
        <v>46</v>
      </c>
      <c r="B52" s="2">
        <v>13400</v>
      </c>
      <c r="C52" s="2">
        <v>0</v>
      </c>
      <c r="D52" s="2">
        <v>0</v>
      </c>
      <c r="E52" s="2">
        <v>0</v>
      </c>
      <c r="F52" s="2">
        <v>13400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5818.0442999999996</v>
      </c>
      <c r="C56" s="2">
        <v>1451.2017000000001</v>
      </c>
      <c r="D56" s="2">
        <v>1394.0515</v>
      </c>
      <c r="E56" s="2">
        <v>143.2183</v>
      </c>
      <c r="F56" s="2">
        <v>8806.5157999999992</v>
      </c>
    </row>
    <row r="57" spans="1:6" x14ac:dyDescent="0.25">
      <c r="A57" s="3" t="s">
        <v>43</v>
      </c>
      <c r="B57" s="2">
        <v>1451.2017000000001</v>
      </c>
      <c r="C57" s="2">
        <v>387.28809999999999</v>
      </c>
      <c r="D57" s="2">
        <v>347.1705</v>
      </c>
      <c r="E57" s="2">
        <v>39.510599999999997</v>
      </c>
      <c r="F57" s="2">
        <v>2225.1707999999999</v>
      </c>
    </row>
    <row r="58" spans="1:6" x14ac:dyDescent="0.25">
      <c r="A58" s="3" t="s">
        <v>44</v>
      </c>
      <c r="B58" s="2">
        <v>1394.0515</v>
      </c>
      <c r="C58" s="2">
        <v>347.1705</v>
      </c>
      <c r="D58" s="2">
        <v>373.57659999999998</v>
      </c>
      <c r="E58" s="2">
        <v>33.005499999999998</v>
      </c>
      <c r="F58" s="2">
        <v>2147.8040999999998</v>
      </c>
    </row>
    <row r="59" spans="1:6" x14ac:dyDescent="0.25">
      <c r="A59" s="3" t="s">
        <v>45</v>
      </c>
      <c r="B59" s="2">
        <v>143.2183</v>
      </c>
      <c r="C59" s="2">
        <v>39.510599999999997</v>
      </c>
      <c r="D59" s="2">
        <v>33.005499999999998</v>
      </c>
      <c r="E59" s="2">
        <v>4.7748999999999997</v>
      </c>
      <c r="F59" s="2">
        <v>220.5093</v>
      </c>
    </row>
    <row r="60" spans="1:6" x14ac:dyDescent="0.25">
      <c r="A60" s="3" t="s">
        <v>46</v>
      </c>
      <c r="B60" s="2">
        <v>8806.5157999999992</v>
      </c>
      <c r="C60" s="2">
        <v>2225.1707999999999</v>
      </c>
      <c r="D60" s="2">
        <v>2147.8040999999998</v>
      </c>
      <c r="E60" s="2">
        <v>220.5093</v>
      </c>
      <c r="F60" s="2">
        <v>13400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0.34279999999999999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1.6500000000000001E-2</v>
      </c>
      <c r="C65" s="2"/>
      <c r="D65" s="2"/>
      <c r="E65" s="2"/>
      <c r="F65" s="2"/>
    </row>
    <row r="66" spans="1:6" x14ac:dyDescent="0.25">
      <c r="A66" s="3" t="s">
        <v>33</v>
      </c>
      <c r="B66" s="2">
        <v>1.14E-2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ht="15" customHeight="1" x14ac:dyDescent="0.25">
      <c r="A69" s="3" t="s">
        <v>50</v>
      </c>
      <c r="B69" s="38" t="s">
        <v>51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13400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94</v>
      </c>
      <c r="B140" s="2" t="s">
        <v>95</v>
      </c>
      <c r="C140" s="2">
        <v>6</v>
      </c>
      <c r="D140" s="2"/>
      <c r="E140" s="2"/>
      <c r="F140" s="2"/>
    </row>
    <row r="141" spans="1:6" x14ac:dyDescent="0.25">
      <c r="A141" s="3" t="s">
        <v>96</v>
      </c>
      <c r="B141" s="2">
        <v>1</v>
      </c>
      <c r="C141" s="2"/>
      <c r="D141" s="2"/>
      <c r="E141" s="2"/>
      <c r="F141" s="2"/>
    </row>
    <row r="142" spans="1:6" x14ac:dyDescent="0.25">
      <c r="A142" s="3" t="s">
        <v>97</v>
      </c>
      <c r="B142" s="2">
        <v>2</v>
      </c>
      <c r="C142" s="2"/>
      <c r="D142" s="2"/>
      <c r="E142" s="2"/>
      <c r="F142" s="2"/>
    </row>
    <row r="143" spans="1:6" x14ac:dyDescent="0.25">
      <c r="A143" s="3" t="s">
        <v>98</v>
      </c>
      <c r="B143" s="2">
        <v>3</v>
      </c>
      <c r="C143" s="2"/>
      <c r="D143" s="2"/>
      <c r="E143" s="2"/>
      <c r="F143" s="2"/>
    </row>
    <row r="144" spans="1:6" x14ac:dyDescent="0.25">
      <c r="A144" s="3" t="s">
        <v>99</v>
      </c>
      <c r="B144" s="2">
        <v>4</v>
      </c>
      <c r="C144" s="2"/>
      <c r="D144" s="2"/>
      <c r="E144" s="2"/>
      <c r="F144" s="2"/>
    </row>
    <row r="145" spans="1:16" x14ac:dyDescent="0.25">
      <c r="A145" s="3" t="s">
        <v>100</v>
      </c>
      <c r="B145" s="2">
        <v>5</v>
      </c>
      <c r="C145" s="2"/>
      <c r="D145" s="2"/>
      <c r="E145" s="2"/>
      <c r="F145" s="2"/>
    </row>
    <row r="146" spans="1:16" x14ac:dyDescent="0.25">
      <c r="A146" s="3" t="s">
        <v>101</v>
      </c>
      <c r="B146" s="2">
        <v>6</v>
      </c>
      <c r="C146" s="2"/>
      <c r="D146" s="2"/>
      <c r="E146" s="2"/>
      <c r="F146" s="2"/>
    </row>
    <row r="148" spans="1:16" ht="18.75" x14ac:dyDescent="0.25">
      <c r="A148" s="1" t="s">
        <v>102</v>
      </c>
    </row>
    <row r="150" spans="1:16" x14ac:dyDescent="0.25">
      <c r="A150" s="3" t="s">
        <v>103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28.5" x14ac:dyDescent="0.25">
      <c r="A151" s="3" t="s">
        <v>104</v>
      </c>
      <c r="B151" s="3" t="s">
        <v>42</v>
      </c>
      <c r="C151" s="3" t="s">
        <v>105</v>
      </c>
      <c r="D151" s="3" t="s">
        <v>123</v>
      </c>
      <c r="E151" s="3" t="s">
        <v>43</v>
      </c>
      <c r="F151" s="3" t="s">
        <v>105</v>
      </c>
      <c r="G151" s="3" t="s">
        <v>123</v>
      </c>
      <c r="H151" s="3" t="s">
        <v>44</v>
      </c>
      <c r="I151" s="3" t="s">
        <v>105</v>
      </c>
      <c r="J151" s="3" t="s">
        <v>123</v>
      </c>
      <c r="K151" s="3" t="s">
        <v>45</v>
      </c>
      <c r="L151" s="3" t="s">
        <v>105</v>
      </c>
      <c r="M151" s="3" t="s">
        <v>123</v>
      </c>
      <c r="N151" s="3" t="s">
        <v>106</v>
      </c>
      <c r="O151" s="3" t="s">
        <v>9</v>
      </c>
      <c r="P151" s="2"/>
    </row>
    <row r="152" spans="1:16" x14ac:dyDescent="0.25">
      <c r="A152" s="3"/>
      <c r="B152" s="2">
        <v>1.7619</v>
      </c>
      <c r="C152" s="2">
        <v>8.1199999999999994E-2</v>
      </c>
      <c r="D152" s="2">
        <v>21.706600000000002</v>
      </c>
      <c r="E152" s="2">
        <v>0.31869999999999998</v>
      </c>
      <c r="F152" s="2">
        <v>0.1038</v>
      </c>
      <c r="G152" s="2">
        <v>3.0691999999999999</v>
      </c>
      <c r="H152" s="2">
        <v>0.44890000000000002</v>
      </c>
      <c r="I152" s="2">
        <v>9.4299999999999995E-2</v>
      </c>
      <c r="J152" s="2">
        <v>4.7582000000000004</v>
      </c>
      <c r="K152" s="2">
        <v>-2.5293999999999999</v>
      </c>
      <c r="L152" s="2">
        <v>0.2039</v>
      </c>
      <c r="M152" s="2">
        <v>-12.4078</v>
      </c>
      <c r="N152" s="2">
        <v>526.49680000000001</v>
      </c>
      <c r="O152" s="4">
        <v>8.6000000000000001E-114</v>
      </c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28.5" x14ac:dyDescent="0.25">
      <c r="A154" s="3" t="s">
        <v>107</v>
      </c>
      <c r="B154" s="3" t="s">
        <v>42</v>
      </c>
      <c r="C154" s="3" t="s">
        <v>105</v>
      </c>
      <c r="D154" s="3" t="s">
        <v>123</v>
      </c>
      <c r="E154" s="3" t="s">
        <v>43</v>
      </c>
      <c r="F154" s="3" t="s">
        <v>105</v>
      </c>
      <c r="G154" s="3" t="s">
        <v>123</v>
      </c>
      <c r="H154" s="3" t="s">
        <v>44</v>
      </c>
      <c r="I154" s="3" t="s">
        <v>105</v>
      </c>
      <c r="J154" s="3" t="s">
        <v>123</v>
      </c>
      <c r="K154" s="3" t="s">
        <v>45</v>
      </c>
      <c r="L154" s="3" t="s">
        <v>105</v>
      </c>
      <c r="M154" s="3" t="s">
        <v>123</v>
      </c>
      <c r="N154" s="15" t="s">
        <v>106</v>
      </c>
      <c r="O154" s="15" t="s">
        <v>9</v>
      </c>
      <c r="P154" s="2"/>
    </row>
    <row r="155" spans="1:16" x14ac:dyDescent="0.25">
      <c r="A155" s="3" t="s">
        <v>94</v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16"/>
      <c r="O155" s="16"/>
      <c r="P155" s="2"/>
    </row>
    <row r="156" spans="1:16" x14ac:dyDescent="0.25">
      <c r="A156" s="3" t="s">
        <v>96</v>
      </c>
      <c r="B156" s="2">
        <v>-0.15179999999999999</v>
      </c>
      <c r="C156" s="2">
        <v>0.1278</v>
      </c>
      <c r="D156" s="2">
        <v>-1.1880999999999999</v>
      </c>
      <c r="E156" s="2">
        <v>6.3E-3</v>
      </c>
      <c r="F156" s="2">
        <v>0.1636</v>
      </c>
      <c r="G156" s="2">
        <v>3.8199999999999998E-2</v>
      </c>
      <c r="H156" s="2">
        <v>-0.54020000000000001</v>
      </c>
      <c r="I156" s="2">
        <v>0.16919999999999999</v>
      </c>
      <c r="J156" s="2">
        <v>-3.1922000000000001</v>
      </c>
      <c r="K156" s="2">
        <v>0.68569999999999998</v>
      </c>
      <c r="L156" s="2">
        <v>0.30940000000000001</v>
      </c>
      <c r="M156" s="2">
        <v>2.2164999999999999</v>
      </c>
      <c r="N156" s="16">
        <v>37.651499999999999</v>
      </c>
      <c r="O156" s="16">
        <v>1E-3</v>
      </c>
      <c r="P156" s="2"/>
    </row>
    <row r="157" spans="1:16" x14ac:dyDescent="0.25">
      <c r="A157" s="3" t="s">
        <v>97</v>
      </c>
      <c r="B157" s="2">
        <v>-0.52439999999999998</v>
      </c>
      <c r="C157" s="2">
        <v>0.17430000000000001</v>
      </c>
      <c r="D157" s="2">
        <v>-3.0093999999999999</v>
      </c>
      <c r="E157" s="2">
        <v>0.1517</v>
      </c>
      <c r="F157" s="2">
        <v>0.26200000000000001</v>
      </c>
      <c r="G157" s="2">
        <v>0.57930000000000004</v>
      </c>
      <c r="H157" s="2">
        <v>-5.1799999999999999E-2</v>
      </c>
      <c r="I157" s="2">
        <v>0.21429999999999999</v>
      </c>
      <c r="J157" s="2">
        <v>-0.24160000000000001</v>
      </c>
      <c r="K157" s="2">
        <v>0.42449999999999999</v>
      </c>
      <c r="L157" s="2">
        <v>0.372</v>
      </c>
      <c r="M157" s="2">
        <v>1.141</v>
      </c>
      <c r="N157" s="2"/>
      <c r="O157" s="2"/>
      <c r="P157" s="2"/>
    </row>
    <row r="158" spans="1:16" x14ac:dyDescent="0.25">
      <c r="A158" s="3" t="s">
        <v>98</v>
      </c>
      <c r="B158" s="2">
        <v>0.11409999999999999</v>
      </c>
      <c r="C158" s="2">
        <v>0.18079999999999999</v>
      </c>
      <c r="D158" s="2">
        <v>0.63149999999999995</v>
      </c>
      <c r="E158" s="2">
        <v>-0.1439</v>
      </c>
      <c r="F158" s="2">
        <v>0.24049999999999999</v>
      </c>
      <c r="G158" s="2">
        <v>-0.59850000000000003</v>
      </c>
      <c r="H158" s="2">
        <v>0.39019999999999999</v>
      </c>
      <c r="I158" s="2">
        <v>0.19989999999999999</v>
      </c>
      <c r="J158" s="2">
        <v>1.9519</v>
      </c>
      <c r="K158" s="2">
        <v>-0.3604</v>
      </c>
      <c r="L158" s="2">
        <v>0.43669999999999998</v>
      </c>
      <c r="M158" s="2">
        <v>-0.82530000000000003</v>
      </c>
      <c r="N158" s="2"/>
      <c r="O158" s="2"/>
      <c r="P158" s="2"/>
    </row>
    <row r="159" spans="1:16" x14ac:dyDescent="0.25">
      <c r="A159" s="3" t="s">
        <v>99</v>
      </c>
      <c r="B159" s="2">
        <v>0.2447</v>
      </c>
      <c r="C159" s="2">
        <v>0.1983</v>
      </c>
      <c r="D159" s="2">
        <v>1.2341</v>
      </c>
      <c r="E159" s="2">
        <v>-9.5999999999999992E-3</v>
      </c>
      <c r="F159" s="2">
        <v>0.22720000000000001</v>
      </c>
      <c r="G159" s="2">
        <v>-4.2299999999999997E-2</v>
      </c>
      <c r="H159" s="2">
        <v>-6.6E-3</v>
      </c>
      <c r="I159" s="2">
        <v>0.21579999999999999</v>
      </c>
      <c r="J159" s="2">
        <v>-3.04E-2</v>
      </c>
      <c r="K159" s="2">
        <v>-0.2286</v>
      </c>
      <c r="L159" s="2">
        <v>0.5252</v>
      </c>
      <c r="M159" s="2">
        <v>-0.43519999999999998</v>
      </c>
      <c r="N159" s="2"/>
      <c r="O159" s="2"/>
      <c r="P159" s="2"/>
    </row>
    <row r="160" spans="1:16" x14ac:dyDescent="0.25">
      <c r="A160" s="3" t="s">
        <v>100</v>
      </c>
      <c r="B160" s="2">
        <v>0.74280000000000002</v>
      </c>
      <c r="C160" s="2">
        <v>0.21629999999999999</v>
      </c>
      <c r="D160" s="2">
        <v>3.4344000000000001</v>
      </c>
      <c r="E160" s="2">
        <v>0.39379999999999998</v>
      </c>
      <c r="F160" s="2">
        <v>0.2475</v>
      </c>
      <c r="G160" s="2">
        <v>1.5911999999999999</v>
      </c>
      <c r="H160" s="2">
        <v>0.442</v>
      </c>
      <c r="I160" s="2">
        <v>0.24060000000000001</v>
      </c>
      <c r="J160" s="2">
        <v>1.8369</v>
      </c>
      <c r="K160" s="2">
        <v>-1.5785</v>
      </c>
      <c r="L160" s="2">
        <v>0.60719999999999996</v>
      </c>
      <c r="M160" s="2">
        <v>-2.5998999999999999</v>
      </c>
      <c r="N160" s="2"/>
      <c r="O160" s="2"/>
      <c r="P160" s="2"/>
    </row>
    <row r="161" spans="1:16" x14ac:dyDescent="0.25">
      <c r="A161" s="3" t="s">
        <v>101</v>
      </c>
      <c r="B161" s="2">
        <v>-0.4254</v>
      </c>
      <c r="C161" s="2">
        <v>0.1794</v>
      </c>
      <c r="D161" s="2">
        <v>-2.3721000000000001</v>
      </c>
      <c r="E161" s="2">
        <v>-0.3982</v>
      </c>
      <c r="F161" s="2">
        <v>0.23949999999999999</v>
      </c>
      <c r="G161" s="2">
        <v>-1.6628000000000001</v>
      </c>
      <c r="H161" s="2">
        <v>-0.23369999999999999</v>
      </c>
      <c r="I161" s="2">
        <v>0.21909999999999999</v>
      </c>
      <c r="J161" s="2">
        <v>-1.0666</v>
      </c>
      <c r="K161" s="2">
        <v>1.0572999999999999</v>
      </c>
      <c r="L161" s="2">
        <v>0.42130000000000001</v>
      </c>
      <c r="M161" s="2">
        <v>2.5097</v>
      </c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4" spans="1:16" ht="18.75" x14ac:dyDescent="0.25">
      <c r="A164" s="1" t="s">
        <v>108</v>
      </c>
    </row>
    <row r="166" spans="1:16" x14ac:dyDescent="0.25">
      <c r="A166" s="3" t="s">
        <v>103</v>
      </c>
      <c r="B166" s="3"/>
      <c r="C166" s="3"/>
      <c r="D166" s="3" t="s">
        <v>106</v>
      </c>
      <c r="E166" s="3" t="s">
        <v>109</v>
      </c>
      <c r="F166" s="3" t="s">
        <v>9</v>
      </c>
    </row>
    <row r="167" spans="1:16" x14ac:dyDescent="0.25">
      <c r="A167" s="3" t="s">
        <v>104</v>
      </c>
      <c r="B167" s="2"/>
      <c r="C167" s="2"/>
      <c r="D167" s="2"/>
      <c r="E167" s="2"/>
      <c r="F167" s="2"/>
    </row>
    <row r="168" spans="1:16" x14ac:dyDescent="0.25">
      <c r="A168" s="3" t="s">
        <v>110</v>
      </c>
      <c r="B168" s="3">
        <v>1</v>
      </c>
      <c r="C168" s="3">
        <v>2</v>
      </c>
      <c r="D168" s="2">
        <v>163.04419999999999</v>
      </c>
      <c r="E168" s="2">
        <v>1</v>
      </c>
      <c r="F168" s="4">
        <v>2.3999999999999999E-37</v>
      </c>
    </row>
    <row r="169" spans="1:16" x14ac:dyDescent="0.25">
      <c r="A169" s="3" t="s">
        <v>110</v>
      </c>
      <c r="B169" s="3">
        <v>1</v>
      </c>
      <c r="C169" s="3">
        <v>3</v>
      </c>
      <c r="D169" s="2">
        <v>218.2304</v>
      </c>
      <c r="E169" s="2">
        <v>1</v>
      </c>
      <c r="F169" s="4">
        <v>2.1999999999999999E-49</v>
      </c>
    </row>
    <row r="170" spans="1:16" x14ac:dyDescent="0.25">
      <c r="A170" s="3" t="s">
        <v>110</v>
      </c>
      <c r="B170" s="3">
        <v>1</v>
      </c>
      <c r="C170" s="3">
        <v>4</v>
      </c>
      <c r="D170" s="2">
        <v>250.52930000000001</v>
      </c>
      <c r="E170" s="2">
        <v>1</v>
      </c>
      <c r="F170" s="4">
        <v>2.0000000000000001E-56</v>
      </c>
    </row>
    <row r="171" spans="1:16" x14ac:dyDescent="0.25">
      <c r="A171" s="3" t="s">
        <v>110</v>
      </c>
      <c r="B171" s="3">
        <v>2</v>
      </c>
      <c r="C171" s="3">
        <v>3</v>
      </c>
      <c r="D171" s="2">
        <v>1.0226</v>
      </c>
      <c r="E171" s="2">
        <v>1</v>
      </c>
      <c r="F171" s="2">
        <v>0.31</v>
      </c>
    </row>
    <row r="172" spans="1:16" x14ac:dyDescent="0.25">
      <c r="A172" s="3" t="s">
        <v>110</v>
      </c>
      <c r="B172" s="3">
        <v>2</v>
      </c>
      <c r="C172" s="3">
        <v>4</v>
      </c>
      <c r="D172" s="2">
        <v>99.403599999999997</v>
      </c>
      <c r="E172" s="2">
        <v>1</v>
      </c>
      <c r="F172" s="4">
        <v>2.1000000000000001E-23</v>
      </c>
    </row>
    <row r="173" spans="1:16" x14ac:dyDescent="0.25">
      <c r="A173" s="3" t="s">
        <v>110</v>
      </c>
      <c r="B173" s="3">
        <v>3</v>
      </c>
      <c r="C173" s="3">
        <v>4</v>
      </c>
      <c r="D173" s="2">
        <v>112.35339999999999</v>
      </c>
      <c r="E173" s="2">
        <v>1</v>
      </c>
      <c r="F173" s="4">
        <v>3.0000000000000001E-26</v>
      </c>
    </row>
    <row r="174" spans="1:16" x14ac:dyDescent="0.25">
      <c r="A174" s="3" t="s">
        <v>94</v>
      </c>
      <c r="B174" s="2"/>
      <c r="C174" s="2"/>
      <c r="D174" s="2"/>
      <c r="E174" s="2"/>
      <c r="F174" s="2"/>
    </row>
    <row r="175" spans="1:16" x14ac:dyDescent="0.25">
      <c r="A175" s="3" t="s">
        <v>110</v>
      </c>
      <c r="B175" s="3">
        <v>1</v>
      </c>
      <c r="C175" s="3">
        <v>2</v>
      </c>
      <c r="D175" s="2">
        <v>8.5707000000000004</v>
      </c>
      <c r="E175" s="2">
        <v>5</v>
      </c>
      <c r="F175" s="2">
        <v>0.13</v>
      </c>
    </row>
    <row r="176" spans="1:16" x14ac:dyDescent="0.25">
      <c r="A176" s="3" t="s">
        <v>110</v>
      </c>
      <c r="B176" s="3">
        <v>1</v>
      </c>
      <c r="C176" s="3">
        <v>3</v>
      </c>
      <c r="D176" s="2">
        <v>13.498200000000001</v>
      </c>
      <c r="E176" s="2">
        <v>5</v>
      </c>
      <c r="F176" s="2">
        <v>1.9E-2</v>
      </c>
    </row>
    <row r="177" spans="1:9" x14ac:dyDescent="0.25">
      <c r="A177" s="3" t="s">
        <v>110</v>
      </c>
      <c r="B177" s="3">
        <v>1</v>
      </c>
      <c r="C177" s="3">
        <v>4</v>
      </c>
      <c r="D177" s="2">
        <v>17.353400000000001</v>
      </c>
      <c r="E177" s="2">
        <v>5</v>
      </c>
      <c r="F177" s="2">
        <v>3.8999999999999998E-3</v>
      </c>
    </row>
    <row r="178" spans="1:9" x14ac:dyDescent="0.25">
      <c r="A178" s="3" t="s">
        <v>110</v>
      </c>
      <c r="B178" s="3">
        <v>2</v>
      </c>
      <c r="C178" s="3">
        <v>3</v>
      </c>
      <c r="D178" s="2">
        <v>8.1371000000000002</v>
      </c>
      <c r="E178" s="2">
        <v>5</v>
      </c>
      <c r="F178" s="2">
        <v>0.15</v>
      </c>
    </row>
    <row r="179" spans="1:9" x14ac:dyDescent="0.25">
      <c r="A179" s="3" t="s">
        <v>110</v>
      </c>
      <c r="B179" s="3">
        <v>2</v>
      </c>
      <c r="C179" s="3">
        <v>4</v>
      </c>
      <c r="D179" s="2">
        <v>10.8268</v>
      </c>
      <c r="E179" s="2">
        <v>5</v>
      </c>
      <c r="F179" s="2">
        <v>5.5E-2</v>
      </c>
    </row>
    <row r="180" spans="1:9" x14ac:dyDescent="0.25">
      <c r="A180" s="3" t="s">
        <v>110</v>
      </c>
      <c r="B180" s="3">
        <v>3</v>
      </c>
      <c r="C180" s="3">
        <v>4</v>
      </c>
      <c r="D180" s="2">
        <v>16.150200000000002</v>
      </c>
      <c r="E180" s="2">
        <v>5</v>
      </c>
      <c r="F180" s="2">
        <v>6.4000000000000003E-3</v>
      </c>
    </row>
    <row r="182" spans="1:9" ht="18.75" x14ac:dyDescent="0.25">
      <c r="A182" s="1" t="s">
        <v>111</v>
      </c>
    </row>
    <row r="184" spans="1:9" x14ac:dyDescent="0.25">
      <c r="A184" s="2"/>
      <c r="B184" s="3" t="s">
        <v>42</v>
      </c>
      <c r="C184" s="3" t="s">
        <v>105</v>
      </c>
      <c r="D184" s="3" t="s">
        <v>43</v>
      </c>
      <c r="E184" s="3" t="s">
        <v>105</v>
      </c>
      <c r="F184" s="3" t="s">
        <v>44</v>
      </c>
      <c r="G184" s="3" t="s">
        <v>105</v>
      </c>
      <c r="H184" s="3" t="s">
        <v>45</v>
      </c>
      <c r="I184" s="3" t="s">
        <v>105</v>
      </c>
    </row>
    <row r="185" spans="1:9" x14ac:dyDescent="0.25">
      <c r="A185" s="3" t="s">
        <v>112</v>
      </c>
      <c r="B185" s="2">
        <v>0.65720000000000001</v>
      </c>
      <c r="C185" s="2">
        <v>1.8800000000000001E-2</v>
      </c>
      <c r="D185" s="2">
        <v>0.1661</v>
      </c>
      <c r="E185" s="2">
        <v>1.61E-2</v>
      </c>
      <c r="F185" s="2">
        <v>0.1603</v>
      </c>
      <c r="G185" s="2">
        <v>1.4E-2</v>
      </c>
      <c r="H185" s="2">
        <v>1.6500000000000001E-2</v>
      </c>
      <c r="I185" s="2">
        <v>4.4999999999999997E-3</v>
      </c>
    </row>
    <row r="186" spans="1:9" x14ac:dyDescent="0.25">
      <c r="A186" s="3" t="s">
        <v>107</v>
      </c>
      <c r="B186" s="2"/>
      <c r="C186" s="2"/>
      <c r="D186" s="2"/>
      <c r="E186" s="2"/>
      <c r="F186" s="2"/>
      <c r="G186" s="2"/>
      <c r="H186" s="2"/>
      <c r="I186" s="2"/>
    </row>
    <row r="187" spans="1:9" x14ac:dyDescent="0.25">
      <c r="A187" s="3" t="s">
        <v>94</v>
      </c>
      <c r="B187" s="2"/>
      <c r="C187" s="2"/>
      <c r="D187" s="2"/>
      <c r="E187" s="2"/>
      <c r="F187" s="2"/>
      <c r="G187" s="2"/>
      <c r="H187" s="2"/>
      <c r="I187" s="2"/>
    </row>
    <row r="188" spans="1:9" x14ac:dyDescent="0.25">
      <c r="A188" s="3" t="s">
        <v>96</v>
      </c>
      <c r="B188" s="2">
        <v>0.54279999999999995</v>
      </c>
      <c r="C188" s="2" t="s">
        <v>11</v>
      </c>
      <c r="D188" s="2">
        <v>0.59419999999999995</v>
      </c>
      <c r="E188" s="2" t="s">
        <v>11</v>
      </c>
      <c r="F188" s="2">
        <v>0.40600000000000003</v>
      </c>
      <c r="G188" s="2" t="s">
        <v>11</v>
      </c>
      <c r="H188" s="2">
        <v>0.68559999999999999</v>
      </c>
      <c r="I188" s="2" t="s">
        <v>11</v>
      </c>
    </row>
    <row r="189" spans="1:9" x14ac:dyDescent="0.25">
      <c r="A189" s="3" t="s">
        <v>97</v>
      </c>
      <c r="B189" s="2">
        <v>0.06</v>
      </c>
      <c r="C189" s="2" t="s">
        <v>11</v>
      </c>
      <c r="D189" s="2">
        <v>0.11020000000000001</v>
      </c>
      <c r="E189" s="2" t="s">
        <v>11</v>
      </c>
      <c r="F189" s="2">
        <v>0.1061</v>
      </c>
      <c r="G189" s="2" t="s">
        <v>11</v>
      </c>
      <c r="H189" s="2">
        <v>8.4699999999999998E-2</v>
      </c>
      <c r="I189" s="2" t="s">
        <v>11</v>
      </c>
    </row>
    <row r="190" spans="1:9" x14ac:dyDescent="0.25">
      <c r="A190" s="3" t="s">
        <v>98</v>
      </c>
      <c r="B190" s="2">
        <v>0.20680000000000001</v>
      </c>
      <c r="C190" s="2" t="s">
        <v>11</v>
      </c>
      <c r="D190" s="2">
        <v>0.14929999999999999</v>
      </c>
      <c r="E190" s="2" t="s">
        <v>11</v>
      </c>
      <c r="F190" s="2">
        <v>0.30059999999999998</v>
      </c>
      <c r="G190" s="2" t="s">
        <v>11</v>
      </c>
      <c r="H190" s="2">
        <v>7.0300000000000001E-2</v>
      </c>
      <c r="I190" s="2" t="s">
        <v>11</v>
      </c>
    </row>
    <row r="191" spans="1:9" x14ac:dyDescent="0.25">
      <c r="A191" s="3" t="s">
        <v>99</v>
      </c>
      <c r="B191" s="2">
        <v>5.4800000000000001E-2</v>
      </c>
      <c r="C191" s="2" t="s">
        <v>11</v>
      </c>
      <c r="D191" s="2">
        <v>3.9699999999999999E-2</v>
      </c>
      <c r="E191" s="2" t="s">
        <v>11</v>
      </c>
      <c r="F191" s="2">
        <v>4.7E-2</v>
      </c>
      <c r="G191" s="2" t="s">
        <v>11</v>
      </c>
      <c r="H191" s="2">
        <v>1.8700000000000001E-2</v>
      </c>
      <c r="I191" s="2" t="s">
        <v>11</v>
      </c>
    </row>
    <row r="192" spans="1:9" x14ac:dyDescent="0.25">
      <c r="A192" s="3" t="s">
        <v>100</v>
      </c>
      <c r="B192" s="2">
        <v>7.8899999999999998E-2</v>
      </c>
      <c r="C192" s="2" t="s">
        <v>11</v>
      </c>
      <c r="D192" s="2">
        <v>5.1999999999999998E-2</v>
      </c>
      <c r="E192" s="2" t="s">
        <v>11</v>
      </c>
      <c r="F192" s="2">
        <v>6.4399999999999999E-2</v>
      </c>
      <c r="G192" s="2" t="s">
        <v>11</v>
      </c>
      <c r="H192" s="2">
        <v>4.1999999999999997E-3</v>
      </c>
      <c r="I192" s="2" t="s">
        <v>11</v>
      </c>
    </row>
    <row r="193" spans="1:9" x14ac:dyDescent="0.25">
      <c r="A193" s="3" t="s">
        <v>101</v>
      </c>
      <c r="B193" s="2">
        <v>5.67E-2</v>
      </c>
      <c r="C193" s="2" t="s">
        <v>11</v>
      </c>
      <c r="D193" s="2">
        <v>5.45E-2</v>
      </c>
      <c r="E193" s="2" t="s">
        <v>11</v>
      </c>
      <c r="F193" s="2">
        <v>7.5800000000000006E-2</v>
      </c>
      <c r="G193" s="2" t="s">
        <v>11</v>
      </c>
      <c r="H193" s="2">
        <v>0.13650000000000001</v>
      </c>
      <c r="I193" s="2" t="s">
        <v>11</v>
      </c>
    </row>
    <row r="195" spans="1:9" ht="18.75" x14ac:dyDescent="0.25">
      <c r="A195" s="1" t="s">
        <v>113</v>
      </c>
    </row>
    <row r="197" spans="1:9" x14ac:dyDescent="0.25">
      <c r="A197" s="2"/>
      <c r="B197" s="3" t="s">
        <v>42</v>
      </c>
      <c r="C197" s="3" t="s">
        <v>43</v>
      </c>
      <c r="D197" s="3" t="s">
        <v>44</v>
      </c>
      <c r="E197" s="3" t="s">
        <v>45</v>
      </c>
    </row>
    <row r="198" spans="1:9" x14ac:dyDescent="0.25">
      <c r="A198" s="3" t="s">
        <v>114</v>
      </c>
      <c r="B198" s="2">
        <v>0.65720000000000001</v>
      </c>
      <c r="C198" s="2">
        <v>0.1661</v>
      </c>
      <c r="D198" s="2">
        <v>0.1603</v>
      </c>
      <c r="E198" s="2">
        <v>1.6500000000000001E-2</v>
      </c>
    </row>
    <row r="199" spans="1:9" x14ac:dyDescent="0.25">
      <c r="A199" s="3" t="s">
        <v>107</v>
      </c>
      <c r="B199" s="2"/>
      <c r="C199" s="2"/>
      <c r="D199" s="2"/>
      <c r="E199" s="2"/>
    </row>
    <row r="200" spans="1:9" x14ac:dyDescent="0.25">
      <c r="A200" s="3" t="s">
        <v>94</v>
      </c>
      <c r="B200" s="2"/>
      <c r="C200" s="2"/>
      <c r="D200" s="2"/>
      <c r="E200" s="2"/>
    </row>
    <row r="201" spans="1:9" x14ac:dyDescent="0.25">
      <c r="A201" s="3" t="s">
        <v>96</v>
      </c>
      <c r="B201" s="2">
        <v>0.67079999999999995</v>
      </c>
      <c r="C201" s="2">
        <v>0.18559999999999999</v>
      </c>
      <c r="D201" s="2">
        <v>0.12239999999999999</v>
      </c>
      <c r="E201" s="2">
        <v>2.12E-2</v>
      </c>
    </row>
    <row r="202" spans="1:9" x14ac:dyDescent="0.25">
      <c r="A202" s="3" t="s">
        <v>97</v>
      </c>
      <c r="B202" s="2">
        <v>0.51780000000000004</v>
      </c>
      <c r="C202" s="2">
        <v>0.24049999999999999</v>
      </c>
      <c r="D202" s="2">
        <v>0.2235</v>
      </c>
      <c r="E202" s="2">
        <v>1.83E-2</v>
      </c>
    </row>
    <row r="203" spans="1:9" x14ac:dyDescent="0.25">
      <c r="A203" s="3" t="s">
        <v>98</v>
      </c>
      <c r="B203" s="2">
        <v>0.64700000000000002</v>
      </c>
      <c r="C203" s="2">
        <v>0.1181</v>
      </c>
      <c r="D203" s="2">
        <v>0.22939999999999999</v>
      </c>
      <c r="E203" s="2">
        <v>5.4999999999999997E-3</v>
      </c>
    </row>
    <row r="204" spans="1:9" x14ac:dyDescent="0.25">
      <c r="A204" s="3" t="s">
        <v>99</v>
      </c>
      <c r="B204" s="2">
        <v>0.71379999999999999</v>
      </c>
      <c r="C204" s="2">
        <v>0.13070000000000001</v>
      </c>
      <c r="D204" s="2">
        <v>0.14940000000000001</v>
      </c>
      <c r="E204" s="2">
        <v>6.1000000000000004E-3</v>
      </c>
    </row>
    <row r="205" spans="1:9" x14ac:dyDescent="0.25">
      <c r="A205" s="3" t="s">
        <v>100</v>
      </c>
      <c r="B205" s="2">
        <v>0.73150000000000004</v>
      </c>
      <c r="C205" s="2">
        <v>0.12189999999999999</v>
      </c>
      <c r="D205" s="2">
        <v>0.1457</v>
      </c>
      <c r="E205" s="2">
        <v>1E-3</v>
      </c>
    </row>
    <row r="206" spans="1:9" x14ac:dyDescent="0.25">
      <c r="A206" s="3" t="s">
        <v>101</v>
      </c>
      <c r="B206" s="2">
        <v>0.6139</v>
      </c>
      <c r="C206" s="2">
        <v>0.14899999999999999</v>
      </c>
      <c r="D206" s="2">
        <v>0.2001</v>
      </c>
      <c r="E206" s="2">
        <v>3.6999999999999998E-2</v>
      </c>
    </row>
    <row r="208" spans="1:9" ht="18.75" x14ac:dyDescent="0.25">
      <c r="A208" s="1" t="s">
        <v>115</v>
      </c>
    </row>
    <row r="210" spans="1:9" x14ac:dyDescent="0.25">
      <c r="A210" s="2"/>
      <c r="B210" s="35" t="s">
        <v>110</v>
      </c>
      <c r="C210" s="36"/>
      <c r="D210" s="36"/>
      <c r="E210" s="36"/>
      <c r="F210" s="36"/>
      <c r="G210" s="36"/>
      <c r="H210" s="36"/>
      <c r="I210" s="37"/>
    </row>
    <row r="211" spans="1:9" x14ac:dyDescent="0.25">
      <c r="A211" s="3" t="s">
        <v>94</v>
      </c>
      <c r="B211" s="3">
        <v>1</v>
      </c>
      <c r="C211" s="3" t="s">
        <v>105</v>
      </c>
      <c r="D211" s="3">
        <v>2</v>
      </c>
      <c r="E211" s="3" t="s">
        <v>105</v>
      </c>
      <c r="F211" s="3">
        <v>3</v>
      </c>
      <c r="G211" s="3" t="s">
        <v>105</v>
      </c>
      <c r="H211" s="3">
        <v>4</v>
      </c>
      <c r="I211" s="3" t="s">
        <v>105</v>
      </c>
    </row>
    <row r="212" spans="1:9" x14ac:dyDescent="0.25">
      <c r="A212" s="3" t="s">
        <v>96</v>
      </c>
      <c r="B212" s="2">
        <v>0.67079999999999995</v>
      </c>
      <c r="C212" s="2">
        <v>2.86E-2</v>
      </c>
      <c r="D212" s="2">
        <v>0.18559999999999999</v>
      </c>
      <c r="E212" s="2">
        <v>2.52E-2</v>
      </c>
      <c r="F212" s="2">
        <v>0.12239999999999999</v>
      </c>
      <c r="G212" s="2">
        <v>2.06E-2</v>
      </c>
      <c r="H212" s="2">
        <v>2.12E-2</v>
      </c>
      <c r="I212" s="2">
        <v>7.7999999999999996E-3</v>
      </c>
    </row>
    <row r="213" spans="1:9" x14ac:dyDescent="0.25">
      <c r="A213" s="3" t="s">
        <v>97</v>
      </c>
      <c r="B213" s="2">
        <v>0.51780000000000004</v>
      </c>
      <c r="C213" s="2">
        <v>6.1199999999999997E-2</v>
      </c>
      <c r="D213" s="2">
        <v>0.24049999999999999</v>
      </c>
      <c r="E213" s="2">
        <v>6.7699999999999996E-2</v>
      </c>
      <c r="F213" s="2">
        <v>0.2235</v>
      </c>
      <c r="G213" s="2">
        <v>4.6600000000000003E-2</v>
      </c>
      <c r="H213" s="2">
        <v>1.83E-2</v>
      </c>
      <c r="I213" s="2">
        <v>8.9999999999999993E-3</v>
      </c>
    </row>
    <row r="214" spans="1:9" x14ac:dyDescent="0.25">
      <c r="A214" s="3" t="s">
        <v>98</v>
      </c>
      <c r="B214" s="2">
        <v>0.64700000000000002</v>
      </c>
      <c r="C214" s="2">
        <v>4.3400000000000001E-2</v>
      </c>
      <c r="D214" s="2">
        <v>0.1181</v>
      </c>
      <c r="E214" s="2">
        <v>3.1399999999999997E-2</v>
      </c>
      <c r="F214" s="2">
        <v>0.22939999999999999</v>
      </c>
      <c r="G214" s="2">
        <v>3.5000000000000003E-2</v>
      </c>
      <c r="H214" s="2">
        <v>5.4999999999999997E-3</v>
      </c>
      <c r="I214" s="2">
        <v>3.3999999999999998E-3</v>
      </c>
    </row>
    <row r="215" spans="1:9" x14ac:dyDescent="0.25">
      <c r="A215" s="3" t="s">
        <v>99</v>
      </c>
      <c r="B215" s="2">
        <v>0.71379999999999999</v>
      </c>
      <c r="C215" s="2">
        <v>3.4799999999999998E-2</v>
      </c>
      <c r="D215" s="2">
        <v>0.13070000000000001</v>
      </c>
      <c r="E215" s="2">
        <v>2.4400000000000002E-2</v>
      </c>
      <c r="F215" s="2">
        <v>0.14940000000000001</v>
      </c>
      <c r="G215" s="2">
        <v>2.41E-2</v>
      </c>
      <c r="H215" s="2">
        <v>6.1000000000000004E-3</v>
      </c>
      <c r="I215" s="2">
        <v>4.7999999999999996E-3</v>
      </c>
    </row>
    <row r="216" spans="1:9" x14ac:dyDescent="0.25">
      <c r="A216" s="3" t="s">
        <v>100</v>
      </c>
      <c r="B216" s="2">
        <v>0.73150000000000004</v>
      </c>
      <c r="C216" s="2">
        <v>2.8000000000000001E-2</v>
      </c>
      <c r="D216" s="2">
        <v>0.12189999999999999</v>
      </c>
      <c r="E216" s="2">
        <v>2.2499999999999999E-2</v>
      </c>
      <c r="F216" s="2">
        <v>0.1457</v>
      </c>
      <c r="G216" s="2">
        <v>2.1000000000000001E-2</v>
      </c>
      <c r="H216" s="2">
        <v>1E-3</v>
      </c>
      <c r="I216" s="2">
        <v>8.9999999999999998E-4</v>
      </c>
    </row>
    <row r="217" spans="1:9" x14ac:dyDescent="0.25">
      <c r="A217" s="3" t="s">
        <v>101</v>
      </c>
      <c r="B217" s="2">
        <v>0.6139</v>
      </c>
      <c r="C217" s="2">
        <v>5.0299999999999997E-2</v>
      </c>
      <c r="D217" s="2">
        <v>0.14899999999999999</v>
      </c>
      <c r="E217" s="2">
        <v>3.8600000000000002E-2</v>
      </c>
      <c r="F217" s="2">
        <v>0.2001</v>
      </c>
      <c r="G217" s="2">
        <v>4.07E-2</v>
      </c>
      <c r="H217" s="2">
        <v>3.6999999999999998E-2</v>
      </c>
      <c r="I217" s="2">
        <v>2.1299999999999999E-2</v>
      </c>
    </row>
    <row r="218" spans="1:9" x14ac:dyDescent="0.25">
      <c r="A218" s="38"/>
      <c r="B218" s="39"/>
      <c r="C218" s="39"/>
      <c r="D218" s="39"/>
      <c r="E218" s="39"/>
      <c r="F218" s="39"/>
      <c r="G218" s="39"/>
      <c r="H218" s="39"/>
      <c r="I218" s="40"/>
    </row>
    <row r="219" spans="1:9" x14ac:dyDescent="0.25">
      <c r="A219" s="2"/>
      <c r="B219" s="35" t="s">
        <v>116</v>
      </c>
      <c r="C219" s="36"/>
      <c r="D219" s="36"/>
      <c r="E219" s="36"/>
      <c r="F219" s="36"/>
      <c r="G219" s="36"/>
      <c r="H219" s="36"/>
      <c r="I219" s="37"/>
    </row>
    <row r="220" spans="1:9" x14ac:dyDescent="0.25">
      <c r="A220" s="3" t="s">
        <v>110</v>
      </c>
      <c r="B220" s="3" t="s">
        <v>88</v>
      </c>
      <c r="C220" s="3" t="s">
        <v>105</v>
      </c>
      <c r="D220" s="3" t="s">
        <v>90</v>
      </c>
      <c r="E220" s="3" t="s">
        <v>105</v>
      </c>
      <c r="F220" s="3" t="s">
        <v>91</v>
      </c>
      <c r="G220" s="3" t="s">
        <v>105</v>
      </c>
      <c r="H220" s="3" t="s">
        <v>92</v>
      </c>
      <c r="I220" s="3" t="s">
        <v>105</v>
      </c>
    </row>
    <row r="221" spans="1:9" x14ac:dyDescent="0.25">
      <c r="A221" s="3">
        <v>1</v>
      </c>
      <c r="B221" s="2">
        <v>0.95289999999999997</v>
      </c>
      <c r="C221" s="2" t="s">
        <v>11</v>
      </c>
      <c r="D221" s="2">
        <v>3.7100000000000001E-2</v>
      </c>
      <c r="E221" s="2" t="s">
        <v>11</v>
      </c>
      <c r="F221" s="2">
        <v>9.4999999999999998E-3</v>
      </c>
      <c r="G221" s="2" t="s">
        <v>11</v>
      </c>
      <c r="H221" s="2">
        <v>5.0000000000000001E-4</v>
      </c>
      <c r="I221" s="2" t="s">
        <v>11</v>
      </c>
    </row>
    <row r="222" spans="1:9" x14ac:dyDescent="0.25">
      <c r="A222" s="3">
        <v>2</v>
      </c>
      <c r="B222" s="2">
        <v>0.1469</v>
      </c>
      <c r="C222" s="2" t="s">
        <v>11</v>
      </c>
      <c r="D222" s="2">
        <v>0.80220000000000002</v>
      </c>
      <c r="E222" s="2" t="s">
        <v>11</v>
      </c>
      <c r="F222" s="2">
        <v>5.0700000000000002E-2</v>
      </c>
      <c r="G222" s="2" t="s">
        <v>11</v>
      </c>
      <c r="H222" s="2">
        <v>2.0000000000000001E-4</v>
      </c>
      <c r="I222" s="2" t="s">
        <v>11</v>
      </c>
    </row>
    <row r="223" spans="1:9" x14ac:dyDescent="0.25">
      <c r="A223" s="3">
        <v>3</v>
      </c>
      <c r="B223" s="2">
        <v>3.8800000000000001E-2</v>
      </c>
      <c r="C223" s="2" t="s">
        <v>11</v>
      </c>
      <c r="D223" s="2">
        <v>5.2499999999999998E-2</v>
      </c>
      <c r="E223" s="2" t="s">
        <v>11</v>
      </c>
      <c r="F223" s="2">
        <v>0.90569999999999995</v>
      </c>
      <c r="G223" s="2" t="s">
        <v>11</v>
      </c>
      <c r="H223" s="2">
        <v>3.0000000000000001E-3</v>
      </c>
      <c r="I223" s="2" t="s">
        <v>11</v>
      </c>
    </row>
    <row r="224" spans="1:9" x14ac:dyDescent="0.25">
      <c r="A224" s="3">
        <v>4</v>
      </c>
      <c r="B224" s="2">
        <v>1.9400000000000001E-2</v>
      </c>
      <c r="C224" s="2" t="s">
        <v>11</v>
      </c>
      <c r="D224" s="2">
        <v>2E-3</v>
      </c>
      <c r="E224" s="2" t="s">
        <v>11</v>
      </c>
      <c r="F224" s="2">
        <v>2.9399999999999999E-2</v>
      </c>
      <c r="G224" s="2" t="s">
        <v>11</v>
      </c>
      <c r="H224" s="2">
        <v>0.94920000000000004</v>
      </c>
      <c r="I224" s="2" t="s">
        <v>11</v>
      </c>
    </row>
  </sheetData>
  <mergeCells count="5">
    <mergeCell ref="A3:F3"/>
    <mergeCell ref="B69:F69"/>
    <mergeCell ref="B210:I210"/>
    <mergeCell ref="A218:I218"/>
    <mergeCell ref="B219:I21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214"/>
  <sheetViews>
    <sheetView topLeftCell="A185" workbookViewId="0"/>
  </sheetViews>
  <sheetFormatPr defaultColWidth="9" defaultRowHeight="15" x14ac:dyDescent="0.25"/>
  <cols>
    <col min="1" max="2" width="31.5703125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18.75" x14ac:dyDescent="0.25">
      <c r="A1" s="1" t="s">
        <v>140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13112</v>
      </c>
      <c r="C5" s="2"/>
      <c r="D5" s="2"/>
      <c r="E5" s="2"/>
      <c r="F5" s="2"/>
    </row>
    <row r="6" spans="1:6" x14ac:dyDescent="0.25">
      <c r="A6" s="3" t="s">
        <v>2</v>
      </c>
      <c r="B6" s="2">
        <v>12</v>
      </c>
      <c r="C6" s="2"/>
      <c r="D6" s="2"/>
      <c r="E6" s="2"/>
      <c r="F6" s="2"/>
    </row>
    <row r="7" spans="1:6" x14ac:dyDescent="0.25">
      <c r="A7" s="3" t="s">
        <v>3</v>
      </c>
      <c r="B7" s="2">
        <v>12.713699999999999</v>
      </c>
      <c r="C7" s="2"/>
      <c r="D7" s="2"/>
      <c r="E7" s="2"/>
      <c r="F7" s="2"/>
    </row>
    <row r="8" spans="1:6" x14ac:dyDescent="0.25">
      <c r="A8" s="3" t="s">
        <v>4</v>
      </c>
      <c r="B8" s="2">
        <v>12.713699999999999</v>
      </c>
      <c r="C8" s="2"/>
      <c r="D8" s="2"/>
      <c r="E8" s="2"/>
      <c r="F8" s="2"/>
    </row>
    <row r="9" spans="1:6" x14ac:dyDescent="0.25">
      <c r="A9" s="3" t="s">
        <v>5</v>
      </c>
      <c r="B9" s="2">
        <v>375045</v>
      </c>
      <c r="C9" s="2"/>
      <c r="D9" s="2"/>
      <c r="E9" s="2"/>
      <c r="F9" s="2"/>
    </row>
    <row r="10" spans="1:6" x14ac:dyDescent="0.25">
      <c r="A10" s="3" t="s">
        <v>6</v>
      </c>
      <c r="B10" s="2">
        <v>375045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-12168.2235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-12168.2235</v>
      </c>
      <c r="C27" s="2"/>
      <c r="D27" s="2"/>
      <c r="E27" s="2"/>
      <c r="F27" s="2"/>
    </row>
    <row r="28" spans="1:6" x14ac:dyDescent="0.25">
      <c r="A28" s="3" t="s">
        <v>24</v>
      </c>
      <c r="B28" s="2">
        <v>24450.222399999999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24360.447</v>
      </c>
      <c r="C29" s="2"/>
      <c r="D29" s="2"/>
      <c r="E29" s="2"/>
      <c r="F29" s="2"/>
    </row>
    <row r="30" spans="1:6" x14ac:dyDescent="0.25">
      <c r="A30" s="3" t="s">
        <v>26</v>
      </c>
      <c r="B30" s="2">
        <v>24372.447</v>
      </c>
      <c r="C30" s="2"/>
      <c r="D30" s="2"/>
      <c r="E30" s="2"/>
      <c r="F30" s="2"/>
    </row>
    <row r="31" spans="1:6" x14ac:dyDescent="0.25">
      <c r="A31" s="3" t="s">
        <v>27</v>
      </c>
      <c r="B31" s="2">
        <v>24462.222399999999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24412.087599999999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0.34699999999999998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1.6899999999999998E-2</v>
      </c>
      <c r="C38" s="2"/>
      <c r="D38" s="2"/>
      <c r="E38" s="2"/>
      <c r="F38" s="2"/>
    </row>
    <row r="39" spans="1:6" x14ac:dyDescent="0.25">
      <c r="A39" s="3" t="s">
        <v>33</v>
      </c>
      <c r="B39" s="2">
        <v>1.89E-2</v>
      </c>
      <c r="C39" s="2"/>
      <c r="D39" s="2"/>
      <c r="E39" s="2"/>
      <c r="F39" s="2"/>
    </row>
    <row r="40" spans="1:6" x14ac:dyDescent="0.25">
      <c r="A40" s="3" t="s">
        <v>34</v>
      </c>
      <c r="B40" s="2">
        <v>-24287.9313</v>
      </c>
      <c r="C40" s="2"/>
      <c r="D40" s="2"/>
      <c r="E40" s="2"/>
      <c r="F40" s="2"/>
    </row>
    <row r="41" spans="1:6" x14ac:dyDescent="0.25">
      <c r="A41" s="3" t="s">
        <v>35</v>
      </c>
      <c r="B41" s="2">
        <v>12119.7078</v>
      </c>
      <c r="C41" s="2"/>
      <c r="D41" s="2"/>
      <c r="E41" s="2"/>
      <c r="F41" s="2"/>
    </row>
    <row r="42" spans="1:6" x14ac:dyDescent="0.25">
      <c r="A42" s="3" t="s">
        <v>36</v>
      </c>
      <c r="B42" s="2">
        <v>48575.862500000003</v>
      </c>
      <c r="C42" s="2"/>
      <c r="D42" s="2"/>
      <c r="E42" s="2"/>
      <c r="F42" s="2"/>
    </row>
    <row r="43" spans="1:6" x14ac:dyDescent="0.25">
      <c r="A43" s="3" t="s">
        <v>37</v>
      </c>
      <c r="B43" s="2">
        <v>48839.4133</v>
      </c>
      <c r="C43" s="2"/>
      <c r="D43" s="2"/>
      <c r="E43" s="2"/>
      <c r="F43" s="2"/>
    </row>
    <row r="44" spans="1:6" x14ac:dyDescent="0.25">
      <c r="A44" s="3" t="s">
        <v>38</v>
      </c>
      <c r="B44" s="2">
        <v>48689.637900000002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8561.5881000000008</v>
      </c>
      <c r="C48" s="2">
        <v>0</v>
      </c>
      <c r="D48" s="2">
        <v>0</v>
      </c>
      <c r="E48" s="2">
        <v>0</v>
      </c>
      <c r="F48" s="2">
        <v>8561.5881000000008</v>
      </c>
    </row>
    <row r="49" spans="1:6" x14ac:dyDescent="0.25">
      <c r="A49" s="3" t="s">
        <v>43</v>
      </c>
      <c r="B49" s="2">
        <v>2210.7327</v>
      </c>
      <c r="C49" s="2">
        <v>0</v>
      </c>
      <c r="D49" s="2">
        <v>0</v>
      </c>
      <c r="E49" s="2">
        <v>0</v>
      </c>
      <c r="F49" s="2">
        <v>2210.7327</v>
      </c>
    </row>
    <row r="50" spans="1:6" x14ac:dyDescent="0.25">
      <c r="A50" s="3" t="s">
        <v>44</v>
      </c>
      <c r="B50" s="2">
        <v>2127.8281000000002</v>
      </c>
      <c r="C50" s="2">
        <v>0</v>
      </c>
      <c r="D50" s="2">
        <v>0</v>
      </c>
      <c r="E50" s="2">
        <v>0</v>
      </c>
      <c r="F50" s="2">
        <v>2127.8281000000002</v>
      </c>
    </row>
    <row r="51" spans="1:6" x14ac:dyDescent="0.25">
      <c r="A51" s="3" t="s">
        <v>45</v>
      </c>
      <c r="B51" s="2">
        <v>211.8511</v>
      </c>
      <c r="C51" s="2">
        <v>0</v>
      </c>
      <c r="D51" s="2">
        <v>0</v>
      </c>
      <c r="E51" s="2">
        <v>0</v>
      </c>
      <c r="F51" s="2">
        <v>211.8511</v>
      </c>
    </row>
    <row r="52" spans="1:6" x14ac:dyDescent="0.25">
      <c r="A52" s="3" t="s">
        <v>46</v>
      </c>
      <c r="B52" s="2">
        <v>13112</v>
      </c>
      <c r="C52" s="2">
        <v>0</v>
      </c>
      <c r="D52" s="2">
        <v>0</v>
      </c>
      <c r="E52" s="2">
        <v>0</v>
      </c>
      <c r="F52" s="2">
        <v>13112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5667.6464999999998</v>
      </c>
      <c r="C56" s="2">
        <v>1416.7801999999999</v>
      </c>
      <c r="D56" s="2">
        <v>1342.2308</v>
      </c>
      <c r="E56" s="2">
        <v>134.9307</v>
      </c>
      <c r="F56" s="2">
        <v>8561.5881000000008</v>
      </c>
    </row>
    <row r="57" spans="1:6" x14ac:dyDescent="0.25">
      <c r="A57" s="3" t="s">
        <v>43</v>
      </c>
      <c r="B57" s="2">
        <v>1416.7801999999999</v>
      </c>
      <c r="C57" s="2">
        <v>388.33150000000001</v>
      </c>
      <c r="D57" s="2">
        <v>368.7432</v>
      </c>
      <c r="E57" s="2">
        <v>36.877800000000001</v>
      </c>
      <c r="F57" s="2">
        <v>2210.7327</v>
      </c>
    </row>
    <row r="58" spans="1:6" x14ac:dyDescent="0.25">
      <c r="A58" s="3" t="s">
        <v>44</v>
      </c>
      <c r="B58" s="2">
        <v>1342.2308</v>
      </c>
      <c r="C58" s="2">
        <v>368.7432</v>
      </c>
      <c r="D58" s="2">
        <v>380.46539999999999</v>
      </c>
      <c r="E58" s="2">
        <v>36.3887</v>
      </c>
      <c r="F58" s="2">
        <v>2127.8281000000002</v>
      </c>
    </row>
    <row r="59" spans="1:6" x14ac:dyDescent="0.25">
      <c r="A59" s="3" t="s">
        <v>45</v>
      </c>
      <c r="B59" s="2">
        <v>134.9307</v>
      </c>
      <c r="C59" s="2">
        <v>36.877800000000001</v>
      </c>
      <c r="D59" s="2">
        <v>36.3887</v>
      </c>
      <c r="E59" s="2">
        <v>3.6537999999999999</v>
      </c>
      <c r="F59" s="2">
        <v>211.8511</v>
      </c>
    </row>
    <row r="60" spans="1:6" x14ac:dyDescent="0.25">
      <c r="A60" s="3" t="s">
        <v>46</v>
      </c>
      <c r="B60" s="2">
        <v>8561.5881000000008</v>
      </c>
      <c r="C60" s="2">
        <v>2210.7327</v>
      </c>
      <c r="D60" s="2">
        <v>2127.8281000000002</v>
      </c>
      <c r="E60" s="2">
        <v>211.8511</v>
      </c>
      <c r="F60" s="2">
        <v>13112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0.34699999999999998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1.6899999999999998E-2</v>
      </c>
      <c r="C65" s="2"/>
      <c r="D65" s="2"/>
      <c r="E65" s="2"/>
      <c r="F65" s="2"/>
    </row>
    <row r="66" spans="1:6" x14ac:dyDescent="0.25">
      <c r="A66" s="3" t="s">
        <v>33</v>
      </c>
      <c r="B66" s="2">
        <v>1.89E-2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141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13112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704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704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704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704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142</v>
      </c>
      <c r="B140" s="2" t="s">
        <v>95</v>
      </c>
      <c r="C140" s="2">
        <v>4</v>
      </c>
      <c r="D140" s="2"/>
      <c r="E140" s="2"/>
      <c r="F140" s="2"/>
    </row>
    <row r="141" spans="1:6" x14ac:dyDescent="0.25">
      <c r="A141" s="3" t="s">
        <v>143</v>
      </c>
      <c r="B141" s="2">
        <v>1</v>
      </c>
      <c r="C141" s="2"/>
      <c r="D141" s="2"/>
      <c r="E141" s="2"/>
      <c r="F141" s="2"/>
    </row>
    <row r="142" spans="1:6" x14ac:dyDescent="0.25">
      <c r="A142" s="3" t="s">
        <v>144</v>
      </c>
      <c r="B142" s="2">
        <v>2</v>
      </c>
      <c r="C142" s="2"/>
      <c r="D142" s="2"/>
      <c r="E142" s="2"/>
      <c r="F142" s="2"/>
    </row>
    <row r="143" spans="1:6" x14ac:dyDescent="0.25">
      <c r="A143" s="3" t="s">
        <v>145</v>
      </c>
      <c r="B143" s="2">
        <v>3</v>
      </c>
      <c r="C143" s="2"/>
      <c r="D143" s="2"/>
      <c r="E143" s="2"/>
      <c r="F143" s="2"/>
    </row>
    <row r="144" spans="1:6" x14ac:dyDescent="0.25">
      <c r="A144" s="3" t="s">
        <v>146</v>
      </c>
      <c r="B144" s="2">
        <v>4</v>
      </c>
      <c r="C144" s="2"/>
      <c r="D144" s="2"/>
      <c r="E144" s="2"/>
      <c r="F144" s="2"/>
    </row>
    <row r="146" spans="1:16" ht="18.75" x14ac:dyDescent="0.25">
      <c r="A146" s="1" t="s">
        <v>102</v>
      </c>
    </row>
    <row r="148" spans="1:16" x14ac:dyDescent="0.25">
      <c r="A148" s="3" t="s">
        <v>103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28.5" x14ac:dyDescent="0.25">
      <c r="A149" s="3" t="s">
        <v>104</v>
      </c>
      <c r="B149" s="3" t="s">
        <v>42</v>
      </c>
      <c r="C149" s="3" t="s">
        <v>105</v>
      </c>
      <c r="D149" s="3" t="s">
        <v>123</v>
      </c>
      <c r="E149" s="3" t="s">
        <v>43</v>
      </c>
      <c r="F149" s="3" t="s">
        <v>105</v>
      </c>
      <c r="G149" s="3" t="s">
        <v>123</v>
      </c>
      <c r="H149" s="3" t="s">
        <v>44</v>
      </c>
      <c r="I149" s="3" t="s">
        <v>105</v>
      </c>
      <c r="J149" s="3" t="s">
        <v>123</v>
      </c>
      <c r="K149" s="3" t="s">
        <v>45</v>
      </c>
      <c r="L149" s="3" t="s">
        <v>105</v>
      </c>
      <c r="M149" s="3" t="s">
        <v>123</v>
      </c>
      <c r="N149" s="3" t="s">
        <v>106</v>
      </c>
      <c r="O149" s="3" t="s">
        <v>9</v>
      </c>
      <c r="P149" s="2"/>
    </row>
    <row r="150" spans="1:16" x14ac:dyDescent="0.25">
      <c r="A150" s="3"/>
      <c r="B150" s="2">
        <v>1.532</v>
      </c>
      <c r="C150" s="2">
        <v>0.11559999999999999</v>
      </c>
      <c r="D150" s="2">
        <v>13.2498</v>
      </c>
      <c r="E150" s="2">
        <v>0.20749999999999999</v>
      </c>
      <c r="F150" s="2">
        <v>0.14549999999999999</v>
      </c>
      <c r="G150" s="2">
        <v>1.4259999999999999</v>
      </c>
      <c r="H150" s="2">
        <v>0.4844</v>
      </c>
      <c r="I150" s="2">
        <v>0.1416</v>
      </c>
      <c r="J150" s="2">
        <v>3.4218999999999999</v>
      </c>
      <c r="K150" s="2">
        <v>-2.2239</v>
      </c>
      <c r="L150" s="2">
        <v>0.26700000000000002</v>
      </c>
      <c r="M150" s="2">
        <v>-8.3292999999999999</v>
      </c>
      <c r="N150" s="2">
        <v>177.14930000000001</v>
      </c>
      <c r="O150" s="4">
        <v>3.6000000000000001E-38</v>
      </c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28.5" x14ac:dyDescent="0.25">
      <c r="A152" s="3" t="s">
        <v>107</v>
      </c>
      <c r="B152" s="3" t="s">
        <v>42</v>
      </c>
      <c r="C152" s="3" t="s">
        <v>105</v>
      </c>
      <c r="D152" s="3" t="s">
        <v>123</v>
      </c>
      <c r="E152" s="3" t="s">
        <v>43</v>
      </c>
      <c r="F152" s="3" t="s">
        <v>105</v>
      </c>
      <c r="G152" s="3" t="s">
        <v>123</v>
      </c>
      <c r="H152" s="3" t="s">
        <v>44</v>
      </c>
      <c r="I152" s="3" t="s">
        <v>105</v>
      </c>
      <c r="J152" s="3" t="s">
        <v>123</v>
      </c>
      <c r="K152" s="3" t="s">
        <v>45</v>
      </c>
      <c r="L152" s="3" t="s">
        <v>105</v>
      </c>
      <c r="M152" s="3" t="s">
        <v>123</v>
      </c>
      <c r="N152" s="3" t="s">
        <v>106</v>
      </c>
      <c r="O152" s="3" t="s">
        <v>9</v>
      </c>
      <c r="P152" s="2"/>
    </row>
    <row r="153" spans="1:16" x14ac:dyDescent="0.25">
      <c r="A153" s="3" t="s">
        <v>142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3" t="s">
        <v>143</v>
      </c>
      <c r="B154" s="2">
        <v>0.29459999999999997</v>
      </c>
      <c r="C154" s="2">
        <v>0.1467</v>
      </c>
      <c r="D154" s="2">
        <v>2.0082</v>
      </c>
      <c r="E154" s="2">
        <v>-1.7399999999999999E-2</v>
      </c>
      <c r="F154" s="2">
        <v>0.1862</v>
      </c>
      <c r="G154" s="2">
        <v>-9.3700000000000006E-2</v>
      </c>
      <c r="H154" s="2">
        <v>-0.38040000000000002</v>
      </c>
      <c r="I154" s="2">
        <v>0.1837</v>
      </c>
      <c r="J154" s="2">
        <v>-2.0707</v>
      </c>
      <c r="K154" s="2">
        <v>0.1032</v>
      </c>
      <c r="L154" s="2">
        <v>0.35570000000000002</v>
      </c>
      <c r="M154" s="2">
        <v>0.2903</v>
      </c>
      <c r="N154" s="2">
        <v>24.1327</v>
      </c>
      <c r="O154" s="2">
        <v>4.1000000000000003E-3</v>
      </c>
      <c r="P154" s="2"/>
    </row>
    <row r="155" spans="1:16" x14ac:dyDescent="0.25">
      <c r="A155" s="3" t="s">
        <v>144</v>
      </c>
      <c r="B155" s="2">
        <v>-5.5199999999999999E-2</v>
      </c>
      <c r="C155" s="2">
        <v>0.1618</v>
      </c>
      <c r="D155" s="2">
        <v>-0.34100000000000003</v>
      </c>
      <c r="E155" s="2">
        <v>0.22009999999999999</v>
      </c>
      <c r="F155" s="2">
        <v>0.19539999999999999</v>
      </c>
      <c r="G155" s="2">
        <v>1.1267</v>
      </c>
      <c r="H155" s="2">
        <v>-0.28899999999999998</v>
      </c>
      <c r="I155" s="2">
        <v>0.1976</v>
      </c>
      <c r="J155" s="2">
        <v>-1.4622999999999999</v>
      </c>
      <c r="K155" s="2">
        <v>0.1241</v>
      </c>
      <c r="L155" s="2">
        <v>0.38519999999999999</v>
      </c>
      <c r="M155" s="2">
        <v>0.3221</v>
      </c>
      <c r="N155" s="2"/>
      <c r="O155" s="2"/>
      <c r="P155" s="2"/>
    </row>
    <row r="156" spans="1:16" x14ac:dyDescent="0.25">
      <c r="A156" s="3" t="s">
        <v>145</v>
      </c>
      <c r="B156" s="2">
        <v>-0.41360000000000002</v>
      </c>
      <c r="C156" s="2">
        <v>0.1719</v>
      </c>
      <c r="D156" s="2">
        <v>-2.4058999999999999</v>
      </c>
      <c r="E156" s="2">
        <v>-3.95E-2</v>
      </c>
      <c r="F156" s="2">
        <v>0.25319999999999998</v>
      </c>
      <c r="G156" s="2">
        <v>-0.15590000000000001</v>
      </c>
      <c r="H156" s="2">
        <v>4.9000000000000002E-2</v>
      </c>
      <c r="I156" s="2">
        <v>0.21510000000000001</v>
      </c>
      <c r="J156" s="2">
        <v>0.2276</v>
      </c>
      <c r="K156" s="2">
        <v>0.4042</v>
      </c>
      <c r="L156" s="2">
        <v>0.3493</v>
      </c>
      <c r="M156" s="2">
        <v>1.157</v>
      </c>
      <c r="N156" s="2"/>
      <c r="O156" s="2"/>
      <c r="P156" s="2"/>
    </row>
    <row r="157" spans="1:16" x14ac:dyDescent="0.25">
      <c r="A157" s="3" t="s">
        <v>146</v>
      </c>
      <c r="B157" s="2">
        <v>0.17419999999999999</v>
      </c>
      <c r="C157" s="2">
        <v>0.28749999999999998</v>
      </c>
      <c r="D157" s="2">
        <v>0.60599999999999998</v>
      </c>
      <c r="E157" s="2">
        <v>-0.16320000000000001</v>
      </c>
      <c r="F157" s="2">
        <v>0.34350000000000003</v>
      </c>
      <c r="G157" s="2">
        <v>-0.47520000000000001</v>
      </c>
      <c r="H157" s="2">
        <v>0.62039999999999995</v>
      </c>
      <c r="I157" s="2">
        <v>0.35699999999999998</v>
      </c>
      <c r="J157" s="2">
        <v>1.7381</v>
      </c>
      <c r="K157" s="2">
        <v>-0.63149999999999995</v>
      </c>
      <c r="L157" s="2">
        <v>0.67300000000000004</v>
      </c>
      <c r="M157" s="2">
        <v>-0.93830000000000002</v>
      </c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60" spans="1:16" ht="18.75" x14ac:dyDescent="0.25">
      <c r="A160" s="1" t="s">
        <v>108</v>
      </c>
    </row>
    <row r="162" spans="1:6" x14ac:dyDescent="0.25">
      <c r="A162" s="3" t="s">
        <v>103</v>
      </c>
      <c r="B162" s="3"/>
      <c r="C162" s="3"/>
      <c r="D162" s="3" t="s">
        <v>106</v>
      </c>
      <c r="E162" s="3" t="s">
        <v>109</v>
      </c>
      <c r="F162" s="3" t="s">
        <v>9</v>
      </c>
    </row>
    <row r="163" spans="1:6" x14ac:dyDescent="0.25">
      <c r="A163" s="3" t="s">
        <v>104</v>
      </c>
      <c r="B163" s="2"/>
      <c r="C163" s="2"/>
      <c r="D163" s="2"/>
      <c r="E163" s="2"/>
      <c r="F163" s="2"/>
    </row>
    <row r="164" spans="1:6" x14ac:dyDescent="0.25">
      <c r="A164" s="3" t="s">
        <v>110</v>
      </c>
      <c r="B164" s="3">
        <v>1</v>
      </c>
      <c r="C164" s="3">
        <v>2</v>
      </c>
      <c r="D164" s="2">
        <v>62.386400000000002</v>
      </c>
      <c r="E164" s="2">
        <v>1</v>
      </c>
      <c r="F164" s="4">
        <v>2.8000000000000001E-15</v>
      </c>
    </row>
    <row r="165" spans="1:6" x14ac:dyDescent="0.25">
      <c r="A165" s="3" t="s">
        <v>110</v>
      </c>
      <c r="B165" s="3">
        <v>1</v>
      </c>
      <c r="C165" s="3">
        <v>3</v>
      </c>
      <c r="D165" s="2">
        <v>46.252200000000002</v>
      </c>
      <c r="E165" s="2">
        <v>1</v>
      </c>
      <c r="F165" s="4">
        <v>9.9999999999999994E-12</v>
      </c>
    </row>
    <row r="166" spans="1:6" x14ac:dyDescent="0.25">
      <c r="A166" s="3" t="s">
        <v>110</v>
      </c>
      <c r="B166" s="3">
        <v>1</v>
      </c>
      <c r="C166" s="3">
        <v>4</v>
      </c>
      <c r="D166" s="2">
        <v>110.6387</v>
      </c>
      <c r="E166" s="2">
        <v>1</v>
      </c>
      <c r="F166" s="4">
        <v>7.1000000000000006E-26</v>
      </c>
    </row>
    <row r="167" spans="1:6" x14ac:dyDescent="0.25">
      <c r="A167" s="3" t="s">
        <v>110</v>
      </c>
      <c r="B167" s="3">
        <v>2</v>
      </c>
      <c r="C167" s="3">
        <v>3</v>
      </c>
      <c r="D167" s="2">
        <v>1.8876999999999999</v>
      </c>
      <c r="E167" s="2">
        <v>1</v>
      </c>
      <c r="F167" s="2">
        <v>0.17</v>
      </c>
    </row>
    <row r="168" spans="1:6" x14ac:dyDescent="0.25">
      <c r="A168" s="3" t="s">
        <v>110</v>
      </c>
      <c r="B168" s="3">
        <v>2</v>
      </c>
      <c r="C168" s="3">
        <v>4</v>
      </c>
      <c r="D168" s="2">
        <v>41.679900000000004</v>
      </c>
      <c r="E168" s="2">
        <v>1</v>
      </c>
      <c r="F168" s="4">
        <v>1.0999999999999999E-10</v>
      </c>
    </row>
    <row r="169" spans="1:6" x14ac:dyDescent="0.25">
      <c r="A169" s="3" t="s">
        <v>110</v>
      </c>
      <c r="B169" s="3">
        <v>3</v>
      </c>
      <c r="C169" s="3">
        <v>4</v>
      </c>
      <c r="D169" s="2">
        <v>51.769500000000001</v>
      </c>
      <c r="E169" s="2">
        <v>1</v>
      </c>
      <c r="F169" s="4">
        <v>6.1999999999999998E-13</v>
      </c>
    </row>
    <row r="170" spans="1:6" x14ac:dyDescent="0.25">
      <c r="A170" s="3" t="s">
        <v>142</v>
      </c>
      <c r="B170" s="2"/>
      <c r="C170" s="2"/>
      <c r="D170" s="2"/>
      <c r="E170" s="2"/>
      <c r="F170" s="2"/>
    </row>
    <row r="171" spans="1:6" x14ac:dyDescent="0.25">
      <c r="A171" s="3" t="s">
        <v>110</v>
      </c>
      <c r="B171" s="3">
        <v>1</v>
      </c>
      <c r="C171" s="3">
        <v>2</v>
      </c>
      <c r="D171" s="2">
        <v>6.9116999999999997</v>
      </c>
      <c r="E171" s="2">
        <v>3</v>
      </c>
      <c r="F171" s="2">
        <v>7.4999999999999997E-2</v>
      </c>
    </row>
    <row r="172" spans="1:6" x14ac:dyDescent="0.25">
      <c r="A172" s="3" t="s">
        <v>110</v>
      </c>
      <c r="B172" s="3">
        <v>1</v>
      </c>
      <c r="C172" s="3">
        <v>3</v>
      </c>
      <c r="D172" s="2">
        <v>16.245200000000001</v>
      </c>
      <c r="E172" s="2">
        <v>3</v>
      </c>
      <c r="F172" s="2">
        <v>1E-3</v>
      </c>
    </row>
    <row r="173" spans="1:6" x14ac:dyDescent="0.25">
      <c r="A173" s="3" t="s">
        <v>110</v>
      </c>
      <c r="B173" s="3">
        <v>1</v>
      </c>
      <c r="C173" s="3">
        <v>4</v>
      </c>
      <c r="D173" s="2">
        <v>3.6086</v>
      </c>
      <c r="E173" s="2">
        <v>3</v>
      </c>
      <c r="F173" s="2">
        <v>0.31</v>
      </c>
    </row>
    <row r="174" spans="1:6" x14ac:dyDescent="0.25">
      <c r="A174" s="3" t="s">
        <v>110</v>
      </c>
      <c r="B174" s="3">
        <v>2</v>
      </c>
      <c r="C174" s="3">
        <v>3</v>
      </c>
      <c r="D174" s="2">
        <v>4.7213000000000003</v>
      </c>
      <c r="E174" s="2">
        <v>3</v>
      </c>
      <c r="F174" s="2">
        <v>0.19</v>
      </c>
    </row>
    <row r="175" spans="1:6" x14ac:dyDescent="0.25">
      <c r="A175" s="3" t="s">
        <v>110</v>
      </c>
      <c r="B175" s="3">
        <v>2</v>
      </c>
      <c r="C175" s="3">
        <v>4</v>
      </c>
      <c r="D175" s="2">
        <v>0.77380000000000004</v>
      </c>
      <c r="E175" s="2">
        <v>3</v>
      </c>
      <c r="F175" s="2">
        <v>0.86</v>
      </c>
    </row>
    <row r="176" spans="1:6" x14ac:dyDescent="0.25">
      <c r="A176" s="3" t="s">
        <v>110</v>
      </c>
      <c r="B176" s="3">
        <v>3</v>
      </c>
      <c r="C176" s="3">
        <v>4</v>
      </c>
      <c r="D176" s="2">
        <v>1.7652000000000001</v>
      </c>
      <c r="E176" s="2">
        <v>3</v>
      </c>
      <c r="F176" s="2">
        <v>0.62</v>
      </c>
    </row>
    <row r="178" spans="1:9" ht="18.75" x14ac:dyDescent="0.25">
      <c r="A178" s="1" t="s">
        <v>111</v>
      </c>
    </row>
    <row r="180" spans="1:9" ht="28.5" x14ac:dyDescent="0.25">
      <c r="A180" s="2"/>
      <c r="B180" s="3" t="s">
        <v>42</v>
      </c>
      <c r="C180" s="3" t="s">
        <v>105</v>
      </c>
      <c r="D180" s="3" t="s">
        <v>43</v>
      </c>
      <c r="E180" s="3" t="s">
        <v>105</v>
      </c>
      <c r="F180" s="3" t="s">
        <v>44</v>
      </c>
      <c r="G180" s="3" t="s">
        <v>105</v>
      </c>
      <c r="H180" s="3" t="s">
        <v>45</v>
      </c>
      <c r="I180" s="3" t="s">
        <v>105</v>
      </c>
    </row>
    <row r="181" spans="1:9" x14ac:dyDescent="0.25">
      <c r="A181" s="3" t="s">
        <v>112</v>
      </c>
      <c r="B181" s="2">
        <v>0.65300000000000002</v>
      </c>
      <c r="C181" s="2">
        <v>1.8800000000000001E-2</v>
      </c>
      <c r="D181" s="2">
        <v>0.1686</v>
      </c>
      <c r="E181" s="2">
        <v>1.6400000000000001E-2</v>
      </c>
      <c r="F181" s="2">
        <v>0.1623</v>
      </c>
      <c r="G181" s="2">
        <v>1.4E-2</v>
      </c>
      <c r="H181" s="2">
        <v>1.6199999999999999E-2</v>
      </c>
      <c r="I181" s="2">
        <v>4.4999999999999997E-3</v>
      </c>
    </row>
    <row r="182" spans="1:9" x14ac:dyDescent="0.25">
      <c r="A182" s="3" t="s">
        <v>107</v>
      </c>
      <c r="B182" s="2"/>
      <c r="C182" s="2"/>
      <c r="D182" s="2"/>
      <c r="E182" s="2"/>
      <c r="F182" s="2"/>
      <c r="G182" s="2"/>
      <c r="H182" s="2"/>
      <c r="I182" s="2"/>
    </row>
    <row r="183" spans="1:9" x14ac:dyDescent="0.25">
      <c r="A183" s="3" t="s">
        <v>142</v>
      </c>
      <c r="B183" s="2"/>
      <c r="C183" s="2"/>
      <c r="D183" s="2"/>
      <c r="E183" s="2"/>
      <c r="F183" s="2"/>
      <c r="G183" s="2"/>
      <c r="H183" s="2"/>
      <c r="I183" s="2"/>
    </row>
    <row r="184" spans="1:9" x14ac:dyDescent="0.25">
      <c r="A184" s="3" t="s">
        <v>143</v>
      </c>
      <c r="B184" s="2">
        <v>0.59409999999999996</v>
      </c>
      <c r="C184" s="2" t="s">
        <v>11</v>
      </c>
      <c r="D184" s="2">
        <v>0.44790000000000002</v>
      </c>
      <c r="E184" s="2" t="s">
        <v>11</v>
      </c>
      <c r="F184" s="2">
        <v>0.42699999999999999</v>
      </c>
      <c r="G184" s="2" t="s">
        <v>11</v>
      </c>
      <c r="H184" s="2">
        <v>0.46360000000000001</v>
      </c>
      <c r="I184" s="2" t="s">
        <v>11</v>
      </c>
    </row>
    <row r="185" spans="1:9" x14ac:dyDescent="0.25">
      <c r="A185" s="3" t="s">
        <v>144</v>
      </c>
      <c r="B185" s="2">
        <v>0.29899999999999999</v>
      </c>
      <c r="C185" s="2" t="s">
        <v>11</v>
      </c>
      <c r="D185" s="2">
        <v>0.40550000000000003</v>
      </c>
      <c r="E185" s="2" t="s">
        <v>11</v>
      </c>
      <c r="F185" s="2">
        <v>0.33400000000000002</v>
      </c>
      <c r="G185" s="2" t="s">
        <v>11</v>
      </c>
      <c r="H185" s="2">
        <v>0.33789999999999998</v>
      </c>
      <c r="I185" s="2" t="s">
        <v>11</v>
      </c>
    </row>
    <row r="186" spans="1:9" x14ac:dyDescent="0.25">
      <c r="A186" s="3" t="s">
        <v>145</v>
      </c>
      <c r="B186" s="2">
        <v>8.9300000000000004E-2</v>
      </c>
      <c r="C186" s="2" t="s">
        <v>11</v>
      </c>
      <c r="D186" s="2">
        <v>0.13370000000000001</v>
      </c>
      <c r="E186" s="2" t="s">
        <v>11</v>
      </c>
      <c r="F186" s="2">
        <v>0.2001</v>
      </c>
      <c r="G186" s="2" t="s">
        <v>11</v>
      </c>
      <c r="H186" s="2">
        <v>0.19109999999999999</v>
      </c>
      <c r="I186" s="2" t="s">
        <v>11</v>
      </c>
    </row>
    <row r="187" spans="1:9" x14ac:dyDescent="0.25">
      <c r="A187" s="3" t="s">
        <v>146</v>
      </c>
      <c r="B187" s="2">
        <v>1.77E-2</v>
      </c>
      <c r="C187" s="2" t="s">
        <v>11</v>
      </c>
      <c r="D187" s="2">
        <v>1.2999999999999999E-2</v>
      </c>
      <c r="E187" s="2" t="s">
        <v>11</v>
      </c>
      <c r="F187" s="2">
        <v>3.8899999999999997E-2</v>
      </c>
      <c r="G187" s="2" t="s">
        <v>11</v>
      </c>
      <c r="H187" s="2">
        <v>7.4999999999999997E-3</v>
      </c>
      <c r="I187" s="2" t="s">
        <v>11</v>
      </c>
    </row>
    <row r="189" spans="1:9" ht="18.75" x14ac:dyDescent="0.25">
      <c r="A189" s="1" t="s">
        <v>113</v>
      </c>
    </row>
    <row r="191" spans="1:9" ht="28.5" x14ac:dyDescent="0.25">
      <c r="A191" s="2"/>
      <c r="B191" s="3" t="s">
        <v>42</v>
      </c>
      <c r="C191" s="3" t="s">
        <v>43</v>
      </c>
      <c r="D191" s="3" t="s">
        <v>44</v>
      </c>
      <c r="E191" s="3" t="s">
        <v>45</v>
      </c>
    </row>
    <row r="192" spans="1:9" x14ac:dyDescent="0.25">
      <c r="A192" s="3" t="s">
        <v>114</v>
      </c>
      <c r="B192" s="2">
        <v>0.65300000000000002</v>
      </c>
      <c r="C192" s="2">
        <v>0.1686</v>
      </c>
      <c r="D192" s="2">
        <v>0.1623</v>
      </c>
      <c r="E192" s="2">
        <v>1.6199999999999999E-2</v>
      </c>
    </row>
    <row r="193" spans="1:9" x14ac:dyDescent="0.25">
      <c r="A193" s="3" t="s">
        <v>107</v>
      </c>
      <c r="B193" s="2"/>
      <c r="C193" s="2"/>
      <c r="D193" s="2"/>
      <c r="E193" s="2"/>
    </row>
    <row r="194" spans="1:9" x14ac:dyDescent="0.25">
      <c r="A194" s="3" t="s">
        <v>142</v>
      </c>
      <c r="B194" s="2"/>
      <c r="C194" s="2"/>
      <c r="D194" s="2"/>
      <c r="E194" s="2"/>
    </row>
    <row r="195" spans="1:9" x14ac:dyDescent="0.25">
      <c r="A195" s="3" t="s">
        <v>143</v>
      </c>
      <c r="B195" s="2">
        <v>0.71809999999999996</v>
      </c>
      <c r="C195" s="2">
        <v>0.13980000000000001</v>
      </c>
      <c r="D195" s="2">
        <v>0.1283</v>
      </c>
      <c r="E195" s="2">
        <v>1.3899999999999999E-2</v>
      </c>
    </row>
    <row r="196" spans="1:9" x14ac:dyDescent="0.25">
      <c r="A196" s="3" t="s">
        <v>144</v>
      </c>
      <c r="B196" s="2">
        <v>0.60389999999999999</v>
      </c>
      <c r="C196" s="2">
        <v>0.21149999999999999</v>
      </c>
      <c r="D196" s="2">
        <v>0.16769999999999999</v>
      </c>
      <c r="E196" s="2">
        <v>1.6899999999999998E-2</v>
      </c>
    </row>
    <row r="197" spans="1:9" x14ac:dyDescent="0.25">
      <c r="A197" s="3" t="s">
        <v>145</v>
      </c>
      <c r="B197" s="2">
        <v>0.50080000000000002</v>
      </c>
      <c r="C197" s="2">
        <v>0.19359999999999999</v>
      </c>
      <c r="D197" s="2">
        <v>0.27900000000000003</v>
      </c>
      <c r="E197" s="2">
        <v>2.6499999999999999E-2</v>
      </c>
    </row>
    <row r="198" spans="1:9" x14ac:dyDescent="0.25">
      <c r="A198" s="3" t="s">
        <v>146</v>
      </c>
      <c r="B198" s="2">
        <v>0.57199999999999995</v>
      </c>
      <c r="C198" s="2">
        <v>0.1085</v>
      </c>
      <c r="D198" s="2">
        <v>0.3135</v>
      </c>
      <c r="E198" s="2">
        <v>6.0000000000000001E-3</v>
      </c>
    </row>
    <row r="200" spans="1:9" ht="18.75" x14ac:dyDescent="0.25">
      <c r="A200" s="1" t="s">
        <v>115</v>
      </c>
    </row>
    <row r="202" spans="1:9" x14ac:dyDescent="0.25">
      <c r="A202" s="2"/>
      <c r="B202" s="35" t="s">
        <v>110</v>
      </c>
      <c r="C202" s="36"/>
      <c r="D202" s="36"/>
      <c r="E202" s="36"/>
      <c r="F202" s="36"/>
      <c r="G202" s="36"/>
      <c r="H202" s="36"/>
      <c r="I202" s="37"/>
    </row>
    <row r="203" spans="1:9" x14ac:dyDescent="0.25">
      <c r="A203" s="3" t="s">
        <v>142</v>
      </c>
      <c r="B203" s="3">
        <v>1</v>
      </c>
      <c r="C203" s="3" t="s">
        <v>105</v>
      </c>
      <c r="D203" s="3">
        <v>2</v>
      </c>
      <c r="E203" s="3" t="s">
        <v>105</v>
      </c>
      <c r="F203" s="3">
        <v>3</v>
      </c>
      <c r="G203" s="3" t="s">
        <v>105</v>
      </c>
      <c r="H203" s="3">
        <v>4</v>
      </c>
      <c r="I203" s="3" t="s">
        <v>105</v>
      </c>
    </row>
    <row r="204" spans="1:9" x14ac:dyDescent="0.25">
      <c r="A204" s="3" t="s">
        <v>143</v>
      </c>
      <c r="B204" s="2">
        <v>0.71809999999999996</v>
      </c>
      <c r="C204" s="2">
        <v>2.4199999999999999E-2</v>
      </c>
      <c r="D204" s="2">
        <v>0.13980000000000001</v>
      </c>
      <c r="E204" s="2">
        <v>2.01E-2</v>
      </c>
      <c r="F204" s="2">
        <v>0.1283</v>
      </c>
      <c r="G204" s="2">
        <v>1.72E-2</v>
      </c>
      <c r="H204" s="2">
        <v>1.3899999999999999E-2</v>
      </c>
      <c r="I204" s="2">
        <v>6.1000000000000004E-3</v>
      </c>
    </row>
    <row r="205" spans="1:9" x14ac:dyDescent="0.25">
      <c r="A205" s="3" t="s">
        <v>144</v>
      </c>
      <c r="B205" s="2">
        <v>0.60389999999999999</v>
      </c>
      <c r="C205" s="2">
        <v>3.5299999999999998E-2</v>
      </c>
      <c r="D205" s="2">
        <v>0.21149999999999999</v>
      </c>
      <c r="E205" s="2">
        <v>3.1199999999999999E-2</v>
      </c>
      <c r="F205" s="2">
        <v>0.16769999999999999</v>
      </c>
      <c r="G205" s="2">
        <v>2.6499999999999999E-2</v>
      </c>
      <c r="H205" s="2">
        <v>1.6899999999999998E-2</v>
      </c>
      <c r="I205" s="2">
        <v>8.6999999999999994E-3</v>
      </c>
    </row>
    <row r="206" spans="1:9" x14ac:dyDescent="0.25">
      <c r="A206" s="3" t="s">
        <v>145</v>
      </c>
      <c r="B206" s="2">
        <v>0.50080000000000002</v>
      </c>
      <c r="C206" s="2">
        <v>5.8900000000000001E-2</v>
      </c>
      <c r="D206" s="2">
        <v>0.19359999999999999</v>
      </c>
      <c r="E206" s="2">
        <v>5.8999999999999997E-2</v>
      </c>
      <c r="F206" s="2">
        <v>0.27900000000000003</v>
      </c>
      <c r="G206" s="2">
        <v>5.4199999999999998E-2</v>
      </c>
      <c r="H206" s="2">
        <v>2.6499999999999999E-2</v>
      </c>
      <c r="I206" s="2">
        <v>1.0800000000000001E-2</v>
      </c>
    </row>
    <row r="207" spans="1:9" x14ac:dyDescent="0.25">
      <c r="A207" s="3" t="s">
        <v>146</v>
      </c>
      <c r="B207" s="2">
        <v>0.57199999999999995</v>
      </c>
      <c r="C207" s="2">
        <v>0.1013</v>
      </c>
      <c r="D207" s="2">
        <v>0.1085</v>
      </c>
      <c r="E207" s="2">
        <v>4.6600000000000003E-2</v>
      </c>
      <c r="F207" s="2">
        <v>0.3135</v>
      </c>
      <c r="G207" s="2">
        <v>0.1048</v>
      </c>
      <c r="H207" s="2">
        <v>6.0000000000000001E-3</v>
      </c>
      <c r="I207" s="2">
        <v>6.8999999999999999E-3</v>
      </c>
    </row>
    <row r="208" spans="1:9" x14ac:dyDescent="0.25">
      <c r="A208" s="38"/>
      <c r="B208" s="39"/>
      <c r="C208" s="39"/>
      <c r="D208" s="39"/>
      <c r="E208" s="39"/>
      <c r="F208" s="39"/>
      <c r="G208" s="39"/>
      <c r="H208" s="39"/>
      <c r="I208" s="40"/>
    </row>
    <row r="209" spans="1:9" x14ac:dyDescent="0.25">
      <c r="A209" s="2"/>
      <c r="B209" s="35" t="s">
        <v>116</v>
      </c>
      <c r="C209" s="36"/>
      <c r="D209" s="36"/>
      <c r="E209" s="36"/>
      <c r="F209" s="36"/>
      <c r="G209" s="36"/>
      <c r="H209" s="36"/>
      <c r="I209" s="37"/>
    </row>
    <row r="210" spans="1:9" x14ac:dyDescent="0.25">
      <c r="A210" s="3" t="s">
        <v>110</v>
      </c>
      <c r="B210" s="3" t="s">
        <v>88</v>
      </c>
      <c r="C210" s="3" t="s">
        <v>105</v>
      </c>
      <c r="D210" s="3" t="s">
        <v>90</v>
      </c>
      <c r="E210" s="3" t="s">
        <v>105</v>
      </c>
      <c r="F210" s="3" t="s">
        <v>91</v>
      </c>
      <c r="G210" s="3" t="s">
        <v>105</v>
      </c>
      <c r="H210" s="3" t="s">
        <v>92</v>
      </c>
      <c r="I210" s="3" t="s">
        <v>105</v>
      </c>
    </row>
    <row r="211" spans="1:9" x14ac:dyDescent="0.25">
      <c r="A211" s="3">
        <v>1</v>
      </c>
      <c r="B211" s="2">
        <v>0.95189999999999997</v>
      </c>
      <c r="C211" s="2" t="s">
        <v>11</v>
      </c>
      <c r="D211" s="2">
        <v>3.7999999999999999E-2</v>
      </c>
      <c r="E211" s="2" t="s">
        <v>11</v>
      </c>
      <c r="F211" s="2">
        <v>9.5999999999999992E-3</v>
      </c>
      <c r="G211" s="2" t="s">
        <v>11</v>
      </c>
      <c r="H211" s="2">
        <v>5.0000000000000001E-4</v>
      </c>
      <c r="I211" s="2" t="s">
        <v>11</v>
      </c>
    </row>
    <row r="212" spans="1:9" x14ac:dyDescent="0.25">
      <c r="A212" s="3">
        <v>2</v>
      </c>
      <c r="B212" s="2">
        <v>0.14699999999999999</v>
      </c>
      <c r="C212" s="2" t="s">
        <v>11</v>
      </c>
      <c r="D212" s="2">
        <v>0.80230000000000001</v>
      </c>
      <c r="E212" s="2" t="s">
        <v>11</v>
      </c>
      <c r="F212" s="2">
        <v>5.0500000000000003E-2</v>
      </c>
      <c r="G212" s="2" t="s">
        <v>11</v>
      </c>
      <c r="H212" s="2">
        <v>2.0000000000000001E-4</v>
      </c>
      <c r="I212" s="2" t="s">
        <v>11</v>
      </c>
    </row>
    <row r="213" spans="1:9" x14ac:dyDescent="0.25">
      <c r="A213" s="3">
        <v>3</v>
      </c>
      <c r="B213" s="2">
        <v>3.8800000000000001E-2</v>
      </c>
      <c r="C213" s="2" t="s">
        <v>11</v>
      </c>
      <c r="D213" s="2">
        <v>5.2499999999999998E-2</v>
      </c>
      <c r="E213" s="2" t="s">
        <v>11</v>
      </c>
      <c r="F213" s="2">
        <v>0.90580000000000005</v>
      </c>
      <c r="G213" s="2" t="s">
        <v>11</v>
      </c>
      <c r="H213" s="2">
        <v>3.0000000000000001E-3</v>
      </c>
      <c r="I213" s="2" t="s">
        <v>11</v>
      </c>
    </row>
    <row r="214" spans="1:9" x14ac:dyDescent="0.25">
      <c r="A214" s="3">
        <v>4</v>
      </c>
      <c r="B214" s="2">
        <v>2.01E-2</v>
      </c>
      <c r="C214" s="2" t="s">
        <v>11</v>
      </c>
      <c r="D214" s="2">
        <v>2.0999999999999999E-3</v>
      </c>
      <c r="E214" s="2" t="s">
        <v>11</v>
      </c>
      <c r="F214" s="2">
        <v>2.9700000000000001E-2</v>
      </c>
      <c r="G214" s="2" t="s">
        <v>11</v>
      </c>
      <c r="H214" s="2">
        <v>0.94820000000000004</v>
      </c>
      <c r="I214" s="2" t="s">
        <v>11</v>
      </c>
    </row>
  </sheetData>
  <mergeCells count="5">
    <mergeCell ref="A3:F3"/>
    <mergeCell ref="B69:F69"/>
    <mergeCell ref="B202:I202"/>
    <mergeCell ref="A208:I208"/>
    <mergeCell ref="B209:I209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219"/>
  <sheetViews>
    <sheetView topLeftCell="A189" workbookViewId="0">
      <selection activeCell="N155" sqref="N155"/>
    </sheetView>
  </sheetViews>
  <sheetFormatPr defaultRowHeight="15" x14ac:dyDescent="0.25"/>
  <cols>
    <col min="1" max="2" width="40.5703125" customWidth="1"/>
  </cols>
  <sheetData>
    <row r="1" spans="1:6" ht="18.75" x14ac:dyDescent="0.25">
      <c r="A1" s="1" t="s">
        <v>149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13036</v>
      </c>
      <c r="C5" s="2"/>
      <c r="D5" s="2"/>
      <c r="E5" s="2"/>
      <c r="F5" s="2"/>
    </row>
    <row r="6" spans="1:6" x14ac:dyDescent="0.25">
      <c r="A6" s="3" t="s">
        <v>2</v>
      </c>
      <c r="B6" s="2">
        <v>15</v>
      </c>
      <c r="C6" s="2"/>
      <c r="D6" s="2"/>
      <c r="E6" s="2"/>
      <c r="F6" s="2"/>
    </row>
    <row r="7" spans="1:6" x14ac:dyDescent="0.25">
      <c r="A7" s="3" t="s">
        <v>3</v>
      </c>
      <c r="B7" s="2">
        <v>14.6999</v>
      </c>
      <c r="C7" s="2"/>
      <c r="D7" s="2"/>
      <c r="E7" s="2"/>
      <c r="F7" s="2"/>
    </row>
    <row r="8" spans="1:6" x14ac:dyDescent="0.25">
      <c r="A8" s="3" t="s">
        <v>4</v>
      </c>
      <c r="B8" s="2">
        <v>14.6999</v>
      </c>
      <c r="C8" s="2"/>
      <c r="D8" s="2"/>
      <c r="E8" s="2"/>
      <c r="F8" s="2"/>
    </row>
    <row r="9" spans="1:6" x14ac:dyDescent="0.25">
      <c r="A9" s="3" t="s">
        <v>5</v>
      </c>
      <c r="B9" s="2">
        <v>192149</v>
      </c>
      <c r="C9" s="2"/>
      <c r="D9" s="2"/>
      <c r="E9" s="2"/>
      <c r="F9" s="2"/>
    </row>
    <row r="10" spans="1:6" x14ac:dyDescent="0.25">
      <c r="A10" s="3" t="s">
        <v>6</v>
      </c>
      <c r="B10" s="2">
        <v>192149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-12075.930399999999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-12075.930399999999</v>
      </c>
      <c r="C27" s="2"/>
      <c r="D27" s="2"/>
      <c r="E27" s="2"/>
      <c r="F27" s="2"/>
    </row>
    <row r="28" spans="1:6" x14ac:dyDescent="0.25">
      <c r="A28" s="3" t="s">
        <v>24</v>
      </c>
      <c r="B28" s="2">
        <v>24293.992900000001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24181.8609</v>
      </c>
      <c r="C29" s="2"/>
      <c r="D29" s="2"/>
      <c r="E29" s="2"/>
      <c r="F29" s="2"/>
    </row>
    <row r="30" spans="1:6" x14ac:dyDescent="0.25">
      <c r="A30" s="3" t="s">
        <v>26</v>
      </c>
      <c r="B30" s="2">
        <v>24196.8609</v>
      </c>
      <c r="C30" s="2"/>
      <c r="D30" s="2"/>
      <c r="E30" s="2"/>
      <c r="F30" s="2"/>
    </row>
    <row r="31" spans="1:6" x14ac:dyDescent="0.25">
      <c r="A31" s="3" t="s">
        <v>27</v>
      </c>
      <c r="B31" s="2">
        <v>24308.992900000001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24246.324400000001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0.34660000000000002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2.0199999999999999E-2</v>
      </c>
      <c r="C38" s="2"/>
      <c r="D38" s="2"/>
      <c r="E38" s="2"/>
      <c r="F38" s="2"/>
    </row>
    <row r="39" spans="1:6" x14ac:dyDescent="0.25">
      <c r="A39" s="3" t="s">
        <v>33</v>
      </c>
      <c r="B39" s="2">
        <v>0.02</v>
      </c>
      <c r="C39" s="2"/>
      <c r="D39" s="2"/>
      <c r="E39" s="2"/>
      <c r="F39" s="2"/>
    </row>
    <row r="40" spans="1:6" x14ac:dyDescent="0.25">
      <c r="A40" s="3" t="s">
        <v>34</v>
      </c>
      <c r="B40" s="2">
        <v>-24091.065299999998</v>
      </c>
      <c r="C40" s="2"/>
      <c r="D40" s="2"/>
      <c r="E40" s="2"/>
      <c r="F40" s="2"/>
    </row>
    <row r="41" spans="1:6" x14ac:dyDescent="0.25">
      <c r="A41" s="3" t="s">
        <v>35</v>
      </c>
      <c r="B41" s="2">
        <v>12015.134899999999</v>
      </c>
      <c r="C41" s="2"/>
      <c r="D41" s="2"/>
      <c r="E41" s="2"/>
      <c r="F41" s="2"/>
    </row>
    <row r="42" spans="1:6" x14ac:dyDescent="0.25">
      <c r="A42" s="3" t="s">
        <v>36</v>
      </c>
      <c r="B42" s="2">
        <v>48182.130599999997</v>
      </c>
      <c r="C42" s="2"/>
      <c r="D42" s="2"/>
      <c r="E42" s="2"/>
      <c r="F42" s="2"/>
    </row>
    <row r="43" spans="1:6" x14ac:dyDescent="0.25">
      <c r="A43" s="3" t="s">
        <v>37</v>
      </c>
      <c r="B43" s="2">
        <v>48511.394699999997</v>
      </c>
      <c r="C43" s="2"/>
      <c r="D43" s="2"/>
      <c r="E43" s="2"/>
      <c r="F43" s="2"/>
    </row>
    <row r="44" spans="1:6" x14ac:dyDescent="0.25">
      <c r="A44" s="3" t="s">
        <v>38</v>
      </c>
      <c r="B44" s="2">
        <v>48324.262699999999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8517.8608000000004</v>
      </c>
      <c r="C48" s="2">
        <v>0</v>
      </c>
      <c r="D48" s="2">
        <v>0</v>
      </c>
      <c r="E48" s="2">
        <v>0</v>
      </c>
      <c r="F48" s="2">
        <v>8517.8608000000004</v>
      </c>
    </row>
    <row r="49" spans="1:6" x14ac:dyDescent="0.25">
      <c r="A49" s="3" t="s">
        <v>43</v>
      </c>
      <c r="B49" s="2">
        <v>2204.6653000000001</v>
      </c>
      <c r="C49" s="2">
        <v>0</v>
      </c>
      <c r="D49" s="2">
        <v>0</v>
      </c>
      <c r="E49" s="2">
        <v>0</v>
      </c>
      <c r="F49" s="2">
        <v>2204.6653000000001</v>
      </c>
    </row>
    <row r="50" spans="1:6" x14ac:dyDescent="0.25">
      <c r="A50" s="3" t="s">
        <v>44</v>
      </c>
      <c r="B50" s="2">
        <v>2096.2914000000001</v>
      </c>
      <c r="C50" s="2">
        <v>0</v>
      </c>
      <c r="D50" s="2">
        <v>0</v>
      </c>
      <c r="E50" s="2">
        <v>0</v>
      </c>
      <c r="F50" s="2">
        <v>2096.2914000000001</v>
      </c>
    </row>
    <row r="51" spans="1:6" x14ac:dyDescent="0.25">
      <c r="A51" s="3" t="s">
        <v>45</v>
      </c>
      <c r="B51" s="2">
        <v>217.1825</v>
      </c>
      <c r="C51" s="2">
        <v>0</v>
      </c>
      <c r="D51" s="2">
        <v>0</v>
      </c>
      <c r="E51" s="2">
        <v>0</v>
      </c>
      <c r="F51" s="2">
        <v>217.1825</v>
      </c>
    </row>
    <row r="52" spans="1:6" x14ac:dyDescent="0.25">
      <c r="A52" s="3" t="s">
        <v>46</v>
      </c>
      <c r="B52" s="2">
        <v>13036</v>
      </c>
      <c r="C52" s="2">
        <v>0</v>
      </c>
      <c r="D52" s="2">
        <v>0</v>
      </c>
      <c r="E52" s="2">
        <v>0</v>
      </c>
      <c r="F52" s="2">
        <v>13036</v>
      </c>
    </row>
    <row r="53" spans="1:6" x14ac:dyDescent="0.25">
      <c r="A53" s="3"/>
      <c r="B53" s="2"/>
      <c r="C53" s="2"/>
      <c r="D53" s="2"/>
      <c r="E53" s="2"/>
      <c r="F53" s="2"/>
    </row>
    <row r="54" spans="1:6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5648.1935999999996</v>
      </c>
      <c r="C56" s="2">
        <v>1402.3423</v>
      </c>
      <c r="D56" s="2">
        <v>1327.8076000000001</v>
      </c>
      <c r="E56" s="2">
        <v>139.51740000000001</v>
      </c>
      <c r="F56" s="2">
        <v>8517.8608000000004</v>
      </c>
    </row>
    <row r="57" spans="1:6" x14ac:dyDescent="0.25">
      <c r="A57" s="3" t="s">
        <v>43</v>
      </c>
      <c r="B57" s="2">
        <v>1402.3423</v>
      </c>
      <c r="C57" s="2">
        <v>398.50529999999998</v>
      </c>
      <c r="D57" s="2">
        <v>368.15210000000002</v>
      </c>
      <c r="E57" s="2">
        <v>35.665599999999998</v>
      </c>
      <c r="F57" s="2">
        <v>2204.6653000000001</v>
      </c>
    </row>
    <row r="58" spans="1:6" x14ac:dyDescent="0.25">
      <c r="A58" s="3" t="s">
        <v>44</v>
      </c>
      <c r="B58" s="2">
        <v>1327.8076000000001</v>
      </c>
      <c r="C58" s="2">
        <v>368.15210000000002</v>
      </c>
      <c r="D58" s="2">
        <v>362.91379999999998</v>
      </c>
      <c r="E58" s="2">
        <v>37.417900000000003</v>
      </c>
      <c r="F58" s="2">
        <v>2096.2914000000001</v>
      </c>
    </row>
    <row r="59" spans="1:6" x14ac:dyDescent="0.25">
      <c r="A59" s="3" t="s">
        <v>45</v>
      </c>
      <c r="B59" s="2">
        <v>139.51740000000001</v>
      </c>
      <c r="C59" s="2">
        <v>35.665599999999998</v>
      </c>
      <c r="D59" s="2">
        <v>37.417900000000003</v>
      </c>
      <c r="E59" s="2">
        <v>4.5816999999999997</v>
      </c>
      <c r="F59" s="2">
        <v>217.1825</v>
      </c>
    </row>
    <row r="60" spans="1:6" x14ac:dyDescent="0.25">
      <c r="A60" s="3" t="s">
        <v>46</v>
      </c>
      <c r="B60" s="2">
        <v>8517.8608000000004</v>
      </c>
      <c r="C60" s="2">
        <v>2204.6653000000001</v>
      </c>
      <c r="D60" s="2">
        <v>2096.2914000000001</v>
      </c>
      <c r="E60" s="2">
        <v>217.1825</v>
      </c>
      <c r="F60" s="2">
        <v>13036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0.34660000000000002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2.0199999999999999E-2</v>
      </c>
      <c r="C65" s="2"/>
      <c r="D65" s="2"/>
      <c r="E65" s="2"/>
      <c r="F65" s="2"/>
    </row>
    <row r="66" spans="1:6" x14ac:dyDescent="0.25">
      <c r="A66" s="3" t="s">
        <v>33</v>
      </c>
      <c r="B66" s="2">
        <v>0.02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141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13036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702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702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702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702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150</v>
      </c>
      <c r="B140" s="2" t="s">
        <v>95</v>
      </c>
      <c r="C140" s="2">
        <v>5</v>
      </c>
      <c r="D140" s="2"/>
      <c r="E140" s="2"/>
      <c r="F140" s="2"/>
    </row>
    <row r="141" spans="1:6" x14ac:dyDescent="0.25">
      <c r="A141" s="3" t="s">
        <v>151</v>
      </c>
      <c r="B141" s="2">
        <v>0</v>
      </c>
      <c r="C141" s="2"/>
      <c r="D141" s="2"/>
      <c r="E141" s="2"/>
      <c r="F141" s="2"/>
    </row>
    <row r="142" spans="1:6" x14ac:dyDescent="0.25">
      <c r="A142" s="3" t="s">
        <v>152</v>
      </c>
      <c r="B142" s="2">
        <v>1</v>
      </c>
      <c r="C142" s="2"/>
      <c r="D142" s="2"/>
      <c r="E142" s="2"/>
      <c r="F142" s="2"/>
    </row>
    <row r="143" spans="1:6" x14ac:dyDescent="0.25">
      <c r="A143" s="3" t="s">
        <v>153</v>
      </c>
      <c r="B143" s="2">
        <v>2</v>
      </c>
      <c r="C143" s="2"/>
      <c r="D143" s="2"/>
      <c r="E143" s="2"/>
      <c r="F143" s="2"/>
    </row>
    <row r="144" spans="1:6" x14ac:dyDescent="0.25">
      <c r="A144" s="3" t="s">
        <v>154</v>
      </c>
      <c r="B144" s="2">
        <v>3</v>
      </c>
      <c r="C144" s="2"/>
      <c r="D144" s="2"/>
      <c r="E144" s="2"/>
      <c r="F144" s="2"/>
    </row>
    <row r="145" spans="1:16" x14ac:dyDescent="0.25">
      <c r="A145" s="3" t="s">
        <v>155</v>
      </c>
      <c r="B145" s="2">
        <v>4</v>
      </c>
      <c r="C145" s="2"/>
      <c r="D145" s="2"/>
      <c r="E145" s="2"/>
      <c r="F145" s="2"/>
    </row>
    <row r="147" spans="1:16" ht="18.75" x14ac:dyDescent="0.25">
      <c r="A147" s="1" t="s">
        <v>102</v>
      </c>
    </row>
    <row r="149" spans="1:16" x14ac:dyDescent="0.25">
      <c r="A149" s="3" t="s">
        <v>103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3" t="s">
        <v>104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/>
      <c r="B151" s="2">
        <v>1.5750999999999999</v>
      </c>
      <c r="C151" s="2">
        <v>8.6699999999999999E-2</v>
      </c>
      <c r="D151" s="2">
        <v>18.171299999999999</v>
      </c>
      <c r="E151" s="2">
        <v>0.25619999999999998</v>
      </c>
      <c r="F151" s="2">
        <v>0.1118</v>
      </c>
      <c r="G151" s="2">
        <v>2.2915999999999999</v>
      </c>
      <c r="H151" s="2">
        <v>0.24229999999999999</v>
      </c>
      <c r="I151" s="2">
        <v>0.1076</v>
      </c>
      <c r="J151" s="2">
        <v>2.2526999999999999</v>
      </c>
      <c r="K151" s="2">
        <v>-2.0735999999999999</v>
      </c>
      <c r="L151" s="2">
        <v>0.2092</v>
      </c>
      <c r="M151" s="2">
        <v>-9.9103999999999992</v>
      </c>
      <c r="N151" s="2">
        <v>356.4348</v>
      </c>
      <c r="O151" s="4">
        <v>6.0000000000000003E-77</v>
      </c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3" t="s">
        <v>107</v>
      </c>
      <c r="B153" s="3" t="s">
        <v>42</v>
      </c>
      <c r="C153" s="3" t="s">
        <v>105</v>
      </c>
      <c r="D153" s="3" t="s">
        <v>123</v>
      </c>
      <c r="E153" s="3" t="s">
        <v>43</v>
      </c>
      <c r="F153" s="3" t="s">
        <v>105</v>
      </c>
      <c r="G153" s="3" t="s">
        <v>123</v>
      </c>
      <c r="H153" s="3" t="s">
        <v>44</v>
      </c>
      <c r="I153" s="3" t="s">
        <v>105</v>
      </c>
      <c r="J153" s="3" t="s">
        <v>123</v>
      </c>
      <c r="K153" s="3" t="s">
        <v>45</v>
      </c>
      <c r="L153" s="3" t="s">
        <v>105</v>
      </c>
      <c r="M153" s="3" t="s">
        <v>123</v>
      </c>
      <c r="N153" s="3" t="s">
        <v>106</v>
      </c>
      <c r="O153" s="3" t="s">
        <v>9</v>
      </c>
      <c r="P153" s="2"/>
    </row>
    <row r="154" spans="1:16" x14ac:dyDescent="0.25">
      <c r="A154" s="3" t="s">
        <v>150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3" t="s">
        <v>151</v>
      </c>
      <c r="B155" s="2">
        <v>0.44440000000000002</v>
      </c>
      <c r="C155" s="2">
        <v>0.1709</v>
      </c>
      <c r="D155" s="2">
        <v>2.6011000000000002</v>
      </c>
      <c r="E155" s="2">
        <v>-0.13300000000000001</v>
      </c>
      <c r="F155" s="2">
        <v>0.23430000000000001</v>
      </c>
      <c r="G155" s="2">
        <v>-0.56759999999999999</v>
      </c>
      <c r="H155" s="2">
        <v>-0.28349999999999997</v>
      </c>
      <c r="I155" s="2">
        <v>0.22070000000000001</v>
      </c>
      <c r="J155" s="2">
        <v>-1.2845</v>
      </c>
      <c r="K155" s="2">
        <v>-2.7900000000000001E-2</v>
      </c>
      <c r="L155" s="2">
        <v>0.4385</v>
      </c>
      <c r="M155" s="2">
        <v>-6.3600000000000004E-2</v>
      </c>
      <c r="N155" s="2">
        <v>24.761500000000002</v>
      </c>
      <c r="O155" s="2">
        <v>1.6E-2</v>
      </c>
      <c r="P155" s="2"/>
    </row>
    <row r="156" spans="1:16" x14ac:dyDescent="0.25">
      <c r="A156" s="3" t="s">
        <v>152</v>
      </c>
      <c r="B156" s="2">
        <v>-0.2218</v>
      </c>
      <c r="C156" s="2">
        <v>0.1575</v>
      </c>
      <c r="D156" s="2">
        <v>-1.4084000000000001</v>
      </c>
      <c r="E156" s="2">
        <v>-0.22389999999999999</v>
      </c>
      <c r="F156" s="2">
        <v>0.20180000000000001</v>
      </c>
      <c r="G156" s="2">
        <v>-1.1097999999999999</v>
      </c>
      <c r="H156" s="2">
        <v>-3.7600000000000001E-2</v>
      </c>
      <c r="I156" s="2">
        <v>0.19409999999999999</v>
      </c>
      <c r="J156" s="2">
        <v>-0.19350000000000001</v>
      </c>
      <c r="K156" s="2">
        <v>0.48320000000000002</v>
      </c>
      <c r="L156" s="2">
        <v>0.35630000000000001</v>
      </c>
      <c r="M156" s="2">
        <v>1.3561000000000001</v>
      </c>
      <c r="N156" s="2"/>
      <c r="O156" s="2"/>
      <c r="P156" s="2"/>
    </row>
    <row r="157" spans="1:16" x14ac:dyDescent="0.25">
      <c r="A157" s="3" t="s">
        <v>153</v>
      </c>
      <c r="B157" s="2">
        <v>-5.5999999999999999E-3</v>
      </c>
      <c r="C157" s="2">
        <v>0.1948</v>
      </c>
      <c r="D157" s="2">
        <v>-2.87E-2</v>
      </c>
      <c r="E157" s="2">
        <v>0.15859999999999999</v>
      </c>
      <c r="F157" s="2">
        <v>0.2316</v>
      </c>
      <c r="G157" s="2">
        <v>0.68489999999999995</v>
      </c>
      <c r="H157" s="2">
        <v>0.19359999999999999</v>
      </c>
      <c r="I157" s="2">
        <v>0.22339999999999999</v>
      </c>
      <c r="J157" s="2">
        <v>0.86670000000000003</v>
      </c>
      <c r="K157" s="2">
        <v>-0.34660000000000002</v>
      </c>
      <c r="L157" s="2">
        <v>0.50690000000000002</v>
      </c>
      <c r="M157" s="2">
        <v>-0.68379999999999996</v>
      </c>
      <c r="N157" s="2"/>
      <c r="O157" s="2"/>
      <c r="P157" s="2"/>
    </row>
    <row r="158" spans="1:16" x14ac:dyDescent="0.25">
      <c r="A158" s="3" t="s">
        <v>154</v>
      </c>
      <c r="B158" s="2">
        <v>4.0000000000000002E-4</v>
      </c>
      <c r="C158" s="2">
        <v>0.1545</v>
      </c>
      <c r="D158" s="2">
        <v>2.7000000000000001E-3</v>
      </c>
      <c r="E158" s="2">
        <v>0.4254</v>
      </c>
      <c r="F158" s="2">
        <v>0.1925</v>
      </c>
      <c r="G158" s="2">
        <v>2.2101999999999999</v>
      </c>
      <c r="H158" s="2">
        <v>2.1899999999999999E-2</v>
      </c>
      <c r="I158" s="2">
        <v>0.19289999999999999</v>
      </c>
      <c r="J158" s="2">
        <v>0.1137</v>
      </c>
      <c r="K158" s="2">
        <v>-0.44779999999999998</v>
      </c>
      <c r="L158" s="2">
        <v>0.3412</v>
      </c>
      <c r="M158" s="2">
        <v>-1.3125</v>
      </c>
      <c r="N158" s="2"/>
      <c r="O158" s="2"/>
      <c r="P158" s="2"/>
    </row>
    <row r="159" spans="1:16" x14ac:dyDescent="0.25">
      <c r="A159" s="3" t="s">
        <v>155</v>
      </c>
      <c r="B159" s="2">
        <v>-0.2175</v>
      </c>
      <c r="C159" s="2">
        <v>0.18740000000000001</v>
      </c>
      <c r="D159" s="2">
        <v>-1.1604000000000001</v>
      </c>
      <c r="E159" s="2">
        <v>-0.22720000000000001</v>
      </c>
      <c r="F159" s="2">
        <v>0.24790000000000001</v>
      </c>
      <c r="G159" s="2">
        <v>-0.9163</v>
      </c>
      <c r="H159" s="2">
        <v>0.1055</v>
      </c>
      <c r="I159" s="2">
        <v>0.2397</v>
      </c>
      <c r="J159" s="2">
        <v>0.44019999999999998</v>
      </c>
      <c r="K159" s="2">
        <v>0.33910000000000001</v>
      </c>
      <c r="L159" s="2">
        <v>0.41930000000000001</v>
      </c>
      <c r="M159" s="2">
        <v>0.80879999999999996</v>
      </c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2" spans="1:6" ht="18.75" x14ac:dyDescent="0.25">
      <c r="A162" s="1" t="s">
        <v>108</v>
      </c>
    </row>
    <row r="164" spans="1:6" x14ac:dyDescent="0.25">
      <c r="A164" s="3" t="s">
        <v>103</v>
      </c>
      <c r="B164" s="3"/>
      <c r="C164" s="3"/>
      <c r="D164" s="3" t="s">
        <v>106</v>
      </c>
      <c r="E164" s="3" t="s">
        <v>109</v>
      </c>
      <c r="F164" s="3" t="s">
        <v>9</v>
      </c>
    </row>
    <row r="165" spans="1:6" x14ac:dyDescent="0.25">
      <c r="A165" s="3" t="s">
        <v>104</v>
      </c>
      <c r="B165" s="2"/>
      <c r="C165" s="2"/>
      <c r="D165" s="2"/>
      <c r="E165" s="2"/>
      <c r="F165" s="2"/>
    </row>
    <row r="166" spans="1:6" x14ac:dyDescent="0.25">
      <c r="A166" s="3" t="s">
        <v>110</v>
      </c>
      <c r="B166" s="3">
        <v>1</v>
      </c>
      <c r="C166" s="3">
        <v>2</v>
      </c>
      <c r="D166" s="2">
        <v>111.6048</v>
      </c>
      <c r="E166" s="2">
        <v>1</v>
      </c>
      <c r="F166" s="4">
        <v>4.4000000000000002E-26</v>
      </c>
    </row>
    <row r="167" spans="1:6" x14ac:dyDescent="0.25">
      <c r="A167" s="3" t="s">
        <v>110</v>
      </c>
      <c r="B167" s="3">
        <v>1</v>
      </c>
      <c r="C167" s="3">
        <v>3</v>
      </c>
      <c r="D167" s="2">
        <v>144.24109999999999</v>
      </c>
      <c r="E167" s="2">
        <v>1</v>
      </c>
      <c r="F167" s="4">
        <v>3.1E-33</v>
      </c>
    </row>
    <row r="168" spans="1:6" x14ac:dyDescent="0.25">
      <c r="A168" s="3" t="s">
        <v>110</v>
      </c>
      <c r="B168" s="3">
        <v>1</v>
      </c>
      <c r="C168" s="3">
        <v>4</v>
      </c>
      <c r="D168" s="2">
        <v>171.74469999999999</v>
      </c>
      <c r="E168" s="2">
        <v>1</v>
      </c>
      <c r="F168" s="4">
        <v>3.0999999999999997E-39</v>
      </c>
    </row>
    <row r="169" spans="1:6" x14ac:dyDescent="0.25">
      <c r="A169" s="3" t="s">
        <v>110</v>
      </c>
      <c r="B169" s="3">
        <v>2</v>
      </c>
      <c r="C169" s="3">
        <v>3</v>
      </c>
      <c r="D169" s="2">
        <v>8.3999999999999995E-3</v>
      </c>
      <c r="E169" s="2">
        <v>1</v>
      </c>
      <c r="F169" s="2">
        <v>0.93</v>
      </c>
    </row>
    <row r="170" spans="1:6" x14ac:dyDescent="0.25">
      <c r="A170" s="3" t="s">
        <v>110</v>
      </c>
      <c r="B170" s="3">
        <v>2</v>
      </c>
      <c r="C170" s="3">
        <v>4</v>
      </c>
      <c r="D170" s="2">
        <v>62.602499999999999</v>
      </c>
      <c r="E170" s="2">
        <v>1</v>
      </c>
      <c r="F170" s="4">
        <v>2.5E-15</v>
      </c>
    </row>
    <row r="171" spans="1:6" x14ac:dyDescent="0.25">
      <c r="A171" s="3" t="s">
        <v>110</v>
      </c>
      <c r="B171" s="3">
        <v>3</v>
      </c>
      <c r="C171" s="3">
        <v>4</v>
      </c>
      <c r="D171" s="2">
        <v>62.1785</v>
      </c>
      <c r="E171" s="2">
        <v>1</v>
      </c>
      <c r="F171" s="4">
        <v>3.0999999999999999E-15</v>
      </c>
    </row>
    <row r="172" spans="1:6" x14ac:dyDescent="0.25">
      <c r="A172" s="3" t="s">
        <v>150</v>
      </c>
      <c r="B172" s="2"/>
      <c r="C172" s="2"/>
      <c r="D172" s="2"/>
      <c r="E172" s="2"/>
      <c r="F172" s="2"/>
    </row>
    <row r="173" spans="1:6" x14ac:dyDescent="0.25">
      <c r="A173" s="3" t="s">
        <v>110</v>
      </c>
      <c r="B173" s="3">
        <v>1</v>
      </c>
      <c r="C173" s="3">
        <v>2</v>
      </c>
      <c r="D173" s="2">
        <v>7.7350000000000003</v>
      </c>
      <c r="E173" s="2">
        <v>4</v>
      </c>
      <c r="F173" s="2">
        <v>0.1</v>
      </c>
    </row>
    <row r="174" spans="1:6" x14ac:dyDescent="0.25">
      <c r="A174" s="3" t="s">
        <v>110</v>
      </c>
      <c r="B174" s="3">
        <v>1</v>
      </c>
      <c r="C174" s="3">
        <v>3</v>
      </c>
      <c r="D174" s="2">
        <v>12.3941</v>
      </c>
      <c r="E174" s="2">
        <v>4</v>
      </c>
      <c r="F174" s="2">
        <v>1.4999999999999999E-2</v>
      </c>
    </row>
    <row r="175" spans="1:6" x14ac:dyDescent="0.25">
      <c r="A175" s="3" t="s">
        <v>110</v>
      </c>
      <c r="B175" s="3">
        <v>1</v>
      </c>
      <c r="C175" s="3">
        <v>4</v>
      </c>
      <c r="D175" s="2">
        <v>4.3761000000000001</v>
      </c>
      <c r="E175" s="2">
        <v>4</v>
      </c>
      <c r="F175" s="2">
        <v>0.36</v>
      </c>
    </row>
    <row r="176" spans="1:6" x14ac:dyDescent="0.25">
      <c r="A176" s="3" t="s">
        <v>110</v>
      </c>
      <c r="B176" s="3">
        <v>2</v>
      </c>
      <c r="C176" s="3">
        <v>3</v>
      </c>
      <c r="D176" s="2">
        <v>2.9628000000000001</v>
      </c>
      <c r="E176" s="2">
        <v>4</v>
      </c>
      <c r="F176" s="2">
        <v>0.56000000000000005</v>
      </c>
    </row>
    <row r="177" spans="1:9" x14ac:dyDescent="0.25">
      <c r="A177" s="3" t="s">
        <v>110</v>
      </c>
      <c r="B177" s="3">
        <v>2</v>
      </c>
      <c r="C177" s="3">
        <v>4</v>
      </c>
      <c r="D177" s="2">
        <v>6.0773999999999999</v>
      </c>
      <c r="E177" s="2">
        <v>4</v>
      </c>
      <c r="F177" s="2">
        <v>0.19</v>
      </c>
    </row>
    <row r="178" spans="1:9" x14ac:dyDescent="0.25">
      <c r="A178" s="3" t="s">
        <v>110</v>
      </c>
      <c r="B178" s="3">
        <v>3</v>
      </c>
      <c r="C178" s="3">
        <v>4</v>
      </c>
      <c r="D178" s="2">
        <v>2.5293000000000001</v>
      </c>
      <c r="E178" s="2">
        <v>4</v>
      </c>
      <c r="F178" s="2">
        <v>0.64</v>
      </c>
    </row>
    <row r="180" spans="1:9" ht="18.75" x14ac:dyDescent="0.25">
      <c r="A180" s="1" t="s">
        <v>111</v>
      </c>
    </row>
    <row r="182" spans="1:9" x14ac:dyDescent="0.25">
      <c r="A182" s="2"/>
      <c r="B182" s="3" t="s">
        <v>42</v>
      </c>
      <c r="C182" s="3" t="s">
        <v>105</v>
      </c>
      <c r="D182" s="3" t="s">
        <v>43</v>
      </c>
      <c r="E182" s="3" t="s">
        <v>105</v>
      </c>
      <c r="F182" s="3" t="s">
        <v>44</v>
      </c>
      <c r="G182" s="3" t="s">
        <v>105</v>
      </c>
      <c r="H182" s="3" t="s">
        <v>45</v>
      </c>
      <c r="I182" s="3" t="s">
        <v>105</v>
      </c>
    </row>
    <row r="183" spans="1:9" x14ac:dyDescent="0.25">
      <c r="A183" s="3" t="s">
        <v>112</v>
      </c>
      <c r="B183" s="2">
        <v>0.65339999999999998</v>
      </c>
      <c r="C183" s="2">
        <v>1.9099999999999999E-2</v>
      </c>
      <c r="D183" s="2">
        <v>0.1691</v>
      </c>
      <c r="E183" s="2">
        <v>1.66E-2</v>
      </c>
      <c r="F183" s="2">
        <v>0.1608</v>
      </c>
      <c r="G183" s="2">
        <v>1.41E-2</v>
      </c>
      <c r="H183" s="2">
        <v>1.67E-2</v>
      </c>
      <c r="I183" s="2">
        <v>4.5999999999999999E-3</v>
      </c>
    </row>
    <row r="184" spans="1:9" x14ac:dyDescent="0.25">
      <c r="A184" s="3" t="s">
        <v>107</v>
      </c>
      <c r="B184" s="2"/>
      <c r="C184" s="2"/>
      <c r="D184" s="2"/>
      <c r="E184" s="2"/>
      <c r="F184" s="2"/>
      <c r="G184" s="2"/>
      <c r="H184" s="2"/>
      <c r="I184" s="2"/>
    </row>
    <row r="185" spans="1:9" x14ac:dyDescent="0.25">
      <c r="A185" s="3" t="s">
        <v>150</v>
      </c>
      <c r="B185" s="2"/>
      <c r="C185" s="2"/>
      <c r="D185" s="2"/>
      <c r="E185" s="2"/>
      <c r="F185" s="2"/>
      <c r="G185" s="2"/>
      <c r="H185" s="2"/>
      <c r="I185" s="2"/>
    </row>
    <row r="186" spans="1:9" x14ac:dyDescent="0.25">
      <c r="A186" s="3" t="s">
        <v>151</v>
      </c>
      <c r="B186" s="2">
        <v>0.3614</v>
      </c>
      <c r="C186" s="2" t="s">
        <v>11</v>
      </c>
      <c r="D186" s="2">
        <v>0.20960000000000001</v>
      </c>
      <c r="E186" s="2" t="s">
        <v>11</v>
      </c>
      <c r="F186" s="2">
        <v>0.187</v>
      </c>
      <c r="G186" s="2" t="s">
        <v>11</v>
      </c>
      <c r="H186" s="2">
        <v>0.23</v>
      </c>
      <c r="I186" s="2" t="s">
        <v>11</v>
      </c>
    </row>
    <row r="187" spans="1:9" x14ac:dyDescent="0.25">
      <c r="A187" s="3" t="s">
        <v>152</v>
      </c>
      <c r="B187" s="2">
        <v>0.15970000000000001</v>
      </c>
      <c r="C187" s="2" t="s">
        <v>11</v>
      </c>
      <c r="D187" s="2">
        <v>0.1646</v>
      </c>
      <c r="E187" s="2" t="s">
        <v>11</v>
      </c>
      <c r="F187" s="2">
        <v>0.20569999999999999</v>
      </c>
      <c r="G187" s="2" t="s">
        <v>11</v>
      </c>
      <c r="H187" s="2">
        <v>0.32979999999999998</v>
      </c>
      <c r="I187" s="2" t="s">
        <v>11</v>
      </c>
    </row>
    <row r="188" spans="1:9" x14ac:dyDescent="0.25">
      <c r="A188" s="3" t="s">
        <v>153</v>
      </c>
      <c r="B188" s="2">
        <v>0.20849999999999999</v>
      </c>
      <c r="C188" s="2" t="s">
        <v>11</v>
      </c>
      <c r="D188" s="2">
        <v>0.25390000000000001</v>
      </c>
      <c r="E188" s="2" t="s">
        <v>11</v>
      </c>
      <c r="F188" s="2">
        <v>0.2727</v>
      </c>
      <c r="G188" s="2" t="s">
        <v>11</v>
      </c>
      <c r="H188" s="2">
        <v>0.15129999999999999</v>
      </c>
      <c r="I188" s="2" t="s">
        <v>11</v>
      </c>
    </row>
    <row r="189" spans="1:9" x14ac:dyDescent="0.25">
      <c r="A189" s="3" t="s">
        <v>154</v>
      </c>
      <c r="B189" s="2">
        <v>0.17080000000000001</v>
      </c>
      <c r="C189" s="2" t="s">
        <v>11</v>
      </c>
      <c r="D189" s="2">
        <v>0.26989999999999997</v>
      </c>
      <c r="E189" s="2" t="s">
        <v>11</v>
      </c>
      <c r="F189" s="2">
        <v>0.187</v>
      </c>
      <c r="G189" s="2" t="s">
        <v>11</v>
      </c>
      <c r="H189" s="2">
        <v>0.1113</v>
      </c>
      <c r="I189" s="2" t="s">
        <v>11</v>
      </c>
    </row>
    <row r="190" spans="1:9" x14ac:dyDescent="0.25">
      <c r="A190" s="3" t="s">
        <v>155</v>
      </c>
      <c r="B190" s="2">
        <v>9.9699999999999997E-2</v>
      </c>
      <c r="C190" s="2" t="s">
        <v>11</v>
      </c>
      <c r="D190" s="2">
        <v>0.10199999999999999</v>
      </c>
      <c r="E190" s="2" t="s">
        <v>11</v>
      </c>
      <c r="F190" s="2">
        <v>0.14760000000000001</v>
      </c>
      <c r="G190" s="2" t="s">
        <v>11</v>
      </c>
      <c r="H190" s="2">
        <v>0.17760000000000001</v>
      </c>
      <c r="I190" s="2" t="s">
        <v>11</v>
      </c>
    </row>
    <row r="192" spans="1:9" ht="18.75" x14ac:dyDescent="0.25">
      <c r="A192" s="1" t="s">
        <v>113</v>
      </c>
    </row>
    <row r="194" spans="1:9" x14ac:dyDescent="0.25">
      <c r="A194" s="2"/>
      <c r="B194" s="3" t="s">
        <v>42</v>
      </c>
      <c r="C194" s="3" t="s">
        <v>43</v>
      </c>
      <c r="D194" s="3" t="s">
        <v>44</v>
      </c>
      <c r="E194" s="3" t="s">
        <v>45</v>
      </c>
    </row>
    <row r="195" spans="1:9" x14ac:dyDescent="0.25">
      <c r="A195" s="3" t="s">
        <v>114</v>
      </c>
      <c r="B195" s="2">
        <v>0.65339999999999998</v>
      </c>
      <c r="C195" s="2">
        <v>0.1691</v>
      </c>
      <c r="D195" s="2">
        <v>0.1608</v>
      </c>
      <c r="E195" s="2">
        <v>1.67E-2</v>
      </c>
    </row>
    <row r="196" spans="1:9" x14ac:dyDescent="0.25">
      <c r="A196" s="3" t="s">
        <v>107</v>
      </c>
      <c r="B196" s="2"/>
      <c r="C196" s="2"/>
      <c r="D196" s="2"/>
      <c r="E196" s="2"/>
    </row>
    <row r="197" spans="1:9" x14ac:dyDescent="0.25">
      <c r="A197" s="3" t="s">
        <v>150</v>
      </c>
      <c r="B197" s="2"/>
      <c r="C197" s="2"/>
      <c r="D197" s="2"/>
      <c r="E197" s="2"/>
    </row>
    <row r="198" spans="1:9" x14ac:dyDescent="0.25">
      <c r="A198" s="3" t="s">
        <v>151</v>
      </c>
      <c r="B198" s="2">
        <v>0.77300000000000002</v>
      </c>
      <c r="C198" s="2">
        <v>0.11600000000000001</v>
      </c>
      <c r="D198" s="2">
        <v>9.8400000000000001E-2</v>
      </c>
      <c r="E198" s="2">
        <v>1.2500000000000001E-2</v>
      </c>
    </row>
    <row r="199" spans="1:9" x14ac:dyDescent="0.25">
      <c r="A199" s="3" t="s">
        <v>152</v>
      </c>
      <c r="B199" s="2">
        <v>0.61099999999999999</v>
      </c>
      <c r="C199" s="2">
        <v>0.16309999999999999</v>
      </c>
      <c r="D199" s="2">
        <v>0.19370000000000001</v>
      </c>
      <c r="E199" s="2">
        <v>3.2199999999999999E-2</v>
      </c>
    </row>
    <row r="200" spans="1:9" x14ac:dyDescent="0.25">
      <c r="A200" s="3" t="s">
        <v>153</v>
      </c>
      <c r="B200" s="2">
        <v>0.60399999999999998</v>
      </c>
      <c r="C200" s="2">
        <v>0.19040000000000001</v>
      </c>
      <c r="D200" s="2">
        <v>0.19439999999999999</v>
      </c>
      <c r="E200" s="2">
        <v>1.12E-2</v>
      </c>
    </row>
    <row r="201" spans="1:9" x14ac:dyDescent="0.25">
      <c r="A201" s="3" t="s">
        <v>154</v>
      </c>
      <c r="B201" s="2">
        <v>0.58989999999999998</v>
      </c>
      <c r="C201" s="2">
        <v>0.24129999999999999</v>
      </c>
      <c r="D201" s="2">
        <v>0.159</v>
      </c>
      <c r="E201" s="2">
        <v>9.7999999999999997E-3</v>
      </c>
    </row>
    <row r="202" spans="1:9" x14ac:dyDescent="0.25">
      <c r="A202" s="3" t="s">
        <v>155</v>
      </c>
      <c r="B202" s="2">
        <v>0.59719999999999995</v>
      </c>
      <c r="C202" s="2">
        <v>0.15820000000000001</v>
      </c>
      <c r="D202" s="2">
        <v>0.21759999999999999</v>
      </c>
      <c r="E202" s="2">
        <v>2.7099999999999999E-2</v>
      </c>
    </row>
    <row r="204" spans="1:9" ht="18.75" x14ac:dyDescent="0.25">
      <c r="A204" s="1" t="s">
        <v>115</v>
      </c>
    </row>
    <row r="206" spans="1:9" x14ac:dyDescent="0.25">
      <c r="A206" s="2"/>
      <c r="B206" s="35" t="s">
        <v>110</v>
      </c>
      <c r="C206" s="36"/>
      <c r="D206" s="36"/>
      <c r="E206" s="36"/>
      <c r="F206" s="36"/>
      <c r="G206" s="36"/>
      <c r="H206" s="36"/>
      <c r="I206" s="37"/>
    </row>
    <row r="207" spans="1:9" x14ac:dyDescent="0.25">
      <c r="A207" s="3" t="s">
        <v>150</v>
      </c>
      <c r="B207" s="3">
        <v>1</v>
      </c>
      <c r="C207" s="3" t="s">
        <v>105</v>
      </c>
      <c r="D207" s="3">
        <v>2</v>
      </c>
      <c r="E207" s="3" t="s">
        <v>105</v>
      </c>
      <c r="F207" s="3">
        <v>3</v>
      </c>
      <c r="G207" s="3" t="s">
        <v>105</v>
      </c>
      <c r="H207" s="3">
        <v>4</v>
      </c>
      <c r="I207" s="3" t="s">
        <v>105</v>
      </c>
    </row>
    <row r="208" spans="1:9" x14ac:dyDescent="0.25">
      <c r="A208" s="3" t="s">
        <v>151</v>
      </c>
      <c r="B208" s="2">
        <v>0.77300000000000002</v>
      </c>
      <c r="C208" s="2">
        <v>3.2300000000000002E-2</v>
      </c>
      <c r="D208" s="2">
        <v>0.11600000000000001</v>
      </c>
      <c r="E208" s="2">
        <v>2.87E-2</v>
      </c>
      <c r="F208" s="2">
        <v>9.8400000000000001E-2</v>
      </c>
      <c r="G208" s="2">
        <v>2.0799999999999999E-2</v>
      </c>
      <c r="H208" s="2">
        <v>1.2500000000000001E-2</v>
      </c>
      <c r="I208" s="2">
        <v>8.0999999999999996E-3</v>
      </c>
    </row>
    <row r="209" spans="1:9" x14ac:dyDescent="0.25">
      <c r="A209" s="3" t="s">
        <v>152</v>
      </c>
      <c r="B209" s="2">
        <v>0.61099999999999999</v>
      </c>
      <c r="C209" s="2">
        <v>4.4400000000000002E-2</v>
      </c>
      <c r="D209" s="2">
        <v>0.16309999999999999</v>
      </c>
      <c r="E209" s="2">
        <v>3.49E-2</v>
      </c>
      <c r="F209" s="2">
        <v>0.19370000000000001</v>
      </c>
      <c r="G209" s="2">
        <v>3.5400000000000001E-2</v>
      </c>
      <c r="H209" s="2">
        <v>3.2199999999999999E-2</v>
      </c>
      <c r="I209" s="2">
        <v>1.55E-2</v>
      </c>
    </row>
    <row r="210" spans="1:9" x14ac:dyDescent="0.25">
      <c r="A210" s="3" t="s">
        <v>153</v>
      </c>
      <c r="B210" s="2">
        <v>0.60399999999999998</v>
      </c>
      <c r="C210" s="2">
        <v>4.3099999999999999E-2</v>
      </c>
      <c r="D210" s="2">
        <v>0.19040000000000001</v>
      </c>
      <c r="E210" s="2">
        <v>3.7499999999999999E-2</v>
      </c>
      <c r="F210" s="2">
        <v>0.19439999999999999</v>
      </c>
      <c r="G210" s="2">
        <v>3.3099999999999997E-2</v>
      </c>
      <c r="H210" s="2">
        <v>1.12E-2</v>
      </c>
      <c r="I210" s="2">
        <v>8.8000000000000005E-3</v>
      </c>
    </row>
    <row r="211" spans="1:9" x14ac:dyDescent="0.25">
      <c r="A211" s="3" t="s">
        <v>154</v>
      </c>
      <c r="B211" s="2">
        <v>0.58989999999999998</v>
      </c>
      <c r="C211" s="2">
        <v>4.5499999999999999E-2</v>
      </c>
      <c r="D211" s="2">
        <v>0.24129999999999999</v>
      </c>
      <c r="E211" s="2">
        <v>4.2500000000000003E-2</v>
      </c>
      <c r="F211" s="2">
        <v>0.159</v>
      </c>
      <c r="G211" s="2">
        <v>3.1800000000000002E-2</v>
      </c>
      <c r="H211" s="2">
        <v>9.7999999999999997E-3</v>
      </c>
      <c r="I211" s="2">
        <v>4.4999999999999997E-3</v>
      </c>
    </row>
    <row r="212" spans="1:9" x14ac:dyDescent="0.25">
      <c r="A212" s="3" t="s">
        <v>155</v>
      </c>
      <c r="B212" s="2">
        <v>0.59719999999999995</v>
      </c>
      <c r="C212" s="2">
        <v>5.8000000000000003E-2</v>
      </c>
      <c r="D212" s="2">
        <v>0.15820000000000001</v>
      </c>
      <c r="E212" s="2">
        <v>4.41E-2</v>
      </c>
      <c r="F212" s="2">
        <v>0.21759999999999999</v>
      </c>
      <c r="G212" s="2">
        <v>5.33E-2</v>
      </c>
      <c r="H212" s="2">
        <v>2.7099999999999999E-2</v>
      </c>
      <c r="I212" s="2">
        <v>1.6400000000000001E-2</v>
      </c>
    </row>
    <row r="213" spans="1:9" x14ac:dyDescent="0.25">
      <c r="A213" s="38"/>
      <c r="B213" s="39"/>
      <c r="C213" s="39"/>
      <c r="D213" s="39"/>
      <c r="E213" s="39"/>
      <c r="F213" s="39"/>
      <c r="G213" s="39"/>
      <c r="H213" s="39"/>
      <c r="I213" s="40"/>
    </row>
    <row r="214" spans="1:9" x14ac:dyDescent="0.25">
      <c r="A214" s="2"/>
      <c r="B214" s="35" t="s">
        <v>116</v>
      </c>
      <c r="C214" s="36"/>
      <c r="D214" s="36"/>
      <c r="E214" s="36"/>
      <c r="F214" s="36"/>
      <c r="G214" s="36"/>
      <c r="H214" s="36"/>
      <c r="I214" s="37"/>
    </row>
    <row r="215" spans="1:9" x14ac:dyDescent="0.25">
      <c r="A215" s="3" t="s">
        <v>110</v>
      </c>
      <c r="B215" s="3" t="s">
        <v>88</v>
      </c>
      <c r="C215" s="3" t="s">
        <v>105</v>
      </c>
      <c r="D215" s="3" t="s">
        <v>90</v>
      </c>
      <c r="E215" s="3" t="s">
        <v>105</v>
      </c>
      <c r="F215" s="3" t="s">
        <v>91</v>
      </c>
      <c r="G215" s="3" t="s">
        <v>105</v>
      </c>
      <c r="H215" s="3" t="s">
        <v>92</v>
      </c>
      <c r="I215" s="3" t="s">
        <v>105</v>
      </c>
    </row>
    <row r="216" spans="1:9" x14ac:dyDescent="0.25">
      <c r="A216" s="3">
        <v>1</v>
      </c>
      <c r="B216" s="2">
        <v>0.95230000000000004</v>
      </c>
      <c r="C216" s="2" t="s">
        <v>11</v>
      </c>
      <c r="D216" s="2">
        <v>3.78E-2</v>
      </c>
      <c r="E216" s="2" t="s">
        <v>11</v>
      </c>
      <c r="F216" s="2">
        <v>9.4000000000000004E-3</v>
      </c>
      <c r="G216" s="2" t="s">
        <v>11</v>
      </c>
      <c r="H216" s="2">
        <v>5.0000000000000001E-4</v>
      </c>
      <c r="I216" s="2" t="s">
        <v>11</v>
      </c>
    </row>
    <row r="217" spans="1:9" x14ac:dyDescent="0.25">
      <c r="A217" s="3">
        <v>2</v>
      </c>
      <c r="B217" s="2">
        <v>0.1459</v>
      </c>
      <c r="C217" s="2" t="s">
        <v>11</v>
      </c>
      <c r="D217" s="2">
        <v>0.80249999999999999</v>
      </c>
      <c r="E217" s="2" t="s">
        <v>11</v>
      </c>
      <c r="F217" s="2">
        <v>5.1499999999999997E-2</v>
      </c>
      <c r="G217" s="2" t="s">
        <v>11</v>
      </c>
      <c r="H217" s="2">
        <v>2.0000000000000001E-4</v>
      </c>
      <c r="I217" s="2" t="s">
        <v>11</v>
      </c>
    </row>
    <row r="218" spans="1:9" x14ac:dyDescent="0.25">
      <c r="A218" s="3">
        <v>3</v>
      </c>
      <c r="B218" s="2">
        <v>3.8399999999999997E-2</v>
      </c>
      <c r="C218" s="2" t="s">
        <v>11</v>
      </c>
      <c r="D218" s="2">
        <v>5.4100000000000002E-2</v>
      </c>
      <c r="E218" s="2" t="s">
        <v>11</v>
      </c>
      <c r="F218" s="2">
        <v>0.90439999999999998</v>
      </c>
      <c r="G218" s="2" t="s">
        <v>11</v>
      </c>
      <c r="H218" s="2">
        <v>3.0999999999999999E-3</v>
      </c>
      <c r="I218" s="2" t="s">
        <v>11</v>
      </c>
    </row>
    <row r="219" spans="1:9" x14ac:dyDescent="0.25">
      <c r="A219" s="3">
        <v>4</v>
      </c>
      <c r="B219" s="2">
        <v>1.89E-2</v>
      </c>
      <c r="C219" s="2" t="s">
        <v>11</v>
      </c>
      <c r="D219" s="2">
        <v>1.8E-3</v>
      </c>
      <c r="E219" s="2" t="s">
        <v>11</v>
      </c>
      <c r="F219" s="2">
        <v>2.9899999999999999E-2</v>
      </c>
      <c r="G219" s="2" t="s">
        <v>11</v>
      </c>
      <c r="H219" s="2">
        <v>0.94940000000000002</v>
      </c>
      <c r="I219" s="2" t="s">
        <v>11</v>
      </c>
    </row>
  </sheetData>
  <mergeCells count="5">
    <mergeCell ref="A3:F3"/>
    <mergeCell ref="B69:F69"/>
    <mergeCell ref="B206:I206"/>
    <mergeCell ref="A213:I213"/>
    <mergeCell ref="B214:I21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P204"/>
  <sheetViews>
    <sheetView workbookViewId="0">
      <selection activeCell="D176" sqref="D176"/>
    </sheetView>
  </sheetViews>
  <sheetFormatPr defaultColWidth="36.28515625" defaultRowHeight="15" x14ac:dyDescent="0.25"/>
  <cols>
    <col min="1" max="1" width="30.425781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37.5" x14ac:dyDescent="0.25">
      <c r="A1" s="1" t="s">
        <v>185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13192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14.784800000000001</v>
      </c>
      <c r="C7" s="2"/>
      <c r="D7" s="2"/>
      <c r="E7" s="2"/>
      <c r="F7" s="2"/>
    </row>
    <row r="8" spans="1:6" x14ac:dyDescent="0.25">
      <c r="A8" s="3" t="s">
        <v>4</v>
      </c>
      <c r="B8" s="2">
        <v>14.784800000000001</v>
      </c>
      <c r="C8" s="2"/>
      <c r="D8" s="2"/>
      <c r="E8" s="2"/>
      <c r="F8" s="2"/>
    </row>
    <row r="9" spans="1:6" x14ac:dyDescent="0.25">
      <c r="A9" s="3" t="s">
        <v>5</v>
      </c>
      <c r="B9" s="2">
        <v>365759</v>
      </c>
      <c r="C9" s="2"/>
      <c r="D9" s="2"/>
      <c r="E9" s="2"/>
      <c r="F9" s="2"/>
    </row>
    <row r="10" spans="1:6" x14ac:dyDescent="0.25">
      <c r="A10" s="3" t="s">
        <v>6</v>
      </c>
      <c r="B10" s="2">
        <v>365759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-12320.9256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-12320.9256</v>
      </c>
      <c r="C27" s="2"/>
      <c r="D27" s="2"/>
      <c r="E27" s="2"/>
      <c r="F27" s="2"/>
    </row>
    <row r="28" spans="1:6" x14ac:dyDescent="0.25">
      <c r="A28" s="3" t="s">
        <v>24</v>
      </c>
      <c r="B28" s="2">
        <v>24698.775399999999</v>
      </c>
      <c r="C28" s="2"/>
      <c r="D28" s="2"/>
      <c r="E28" s="2"/>
      <c r="F28" s="2"/>
    </row>
    <row r="29" spans="1:6" x14ac:dyDescent="0.25">
      <c r="A29" s="3" t="s">
        <v>25</v>
      </c>
      <c r="B29" s="2">
        <v>24653.851200000001</v>
      </c>
      <c r="C29" s="2"/>
      <c r="D29" s="2"/>
      <c r="E29" s="2"/>
      <c r="F29" s="2"/>
    </row>
    <row r="30" spans="1:6" x14ac:dyDescent="0.25">
      <c r="A30" s="3" t="s">
        <v>26</v>
      </c>
      <c r="B30" s="2">
        <v>24659.851200000001</v>
      </c>
      <c r="C30" s="2"/>
      <c r="D30" s="2"/>
      <c r="E30" s="2"/>
      <c r="F30" s="2"/>
    </row>
    <row r="31" spans="1:6" x14ac:dyDescent="0.25">
      <c r="A31" s="3" t="s">
        <v>27</v>
      </c>
      <c r="B31" s="2">
        <v>24704.775399999999</v>
      </c>
      <c r="C31" s="2"/>
      <c r="D31" s="2"/>
      <c r="E31" s="2"/>
      <c r="F31" s="2"/>
    </row>
    <row r="32" spans="1:6" x14ac:dyDescent="0.25">
      <c r="A32" s="3" t="s">
        <v>28</v>
      </c>
      <c r="B32" s="2">
        <v>24679.707999999999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0.34320000000000001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3.7000000000000002E-3</v>
      </c>
      <c r="C38" s="2"/>
      <c r="D38" s="2"/>
      <c r="E38" s="2"/>
      <c r="F38" s="2"/>
    </row>
    <row r="39" spans="1:6" x14ac:dyDescent="0.25">
      <c r="A39" s="3" t="s">
        <v>33</v>
      </c>
      <c r="B39" s="2">
        <v>4.1000000000000003E-3</v>
      </c>
      <c r="C39" s="2"/>
      <c r="D39" s="2"/>
      <c r="E39" s="2"/>
      <c r="F39" s="2"/>
    </row>
    <row r="40" spans="1:6" x14ac:dyDescent="0.25">
      <c r="A40" s="3" t="s">
        <v>34</v>
      </c>
      <c r="B40" s="2">
        <v>-24627.1358</v>
      </c>
      <c r="C40" s="2"/>
      <c r="D40" s="2"/>
      <c r="E40" s="2"/>
      <c r="F40" s="2"/>
    </row>
    <row r="41" spans="1:6" x14ac:dyDescent="0.25">
      <c r="A41" s="3" t="s">
        <v>35</v>
      </c>
      <c r="B41" s="2">
        <v>12306.2102</v>
      </c>
      <c r="C41" s="2"/>
      <c r="D41" s="2"/>
      <c r="E41" s="2"/>
      <c r="F41" s="2"/>
    </row>
    <row r="42" spans="1:6" x14ac:dyDescent="0.25">
      <c r="A42" s="3" t="s">
        <v>36</v>
      </c>
      <c r="B42" s="2">
        <v>49254.271699999998</v>
      </c>
      <c r="C42" s="2"/>
      <c r="D42" s="2"/>
      <c r="E42" s="2"/>
      <c r="F42" s="2"/>
    </row>
    <row r="43" spans="1:6" x14ac:dyDescent="0.25">
      <c r="A43" s="3" t="s">
        <v>37</v>
      </c>
      <c r="B43" s="2">
        <v>49386.12</v>
      </c>
      <c r="C43" s="2"/>
      <c r="D43" s="2"/>
      <c r="E43" s="2"/>
      <c r="F43" s="2"/>
    </row>
    <row r="44" spans="1:6" x14ac:dyDescent="0.25">
      <c r="A44" s="3" t="s">
        <v>38</v>
      </c>
      <c r="B44" s="2">
        <v>49311.195800000001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8664.2818000000007</v>
      </c>
      <c r="C48" s="2">
        <v>0</v>
      </c>
      <c r="D48" s="2">
        <v>0</v>
      </c>
      <c r="E48" s="2">
        <v>0</v>
      </c>
      <c r="F48" s="2">
        <v>8664.2818000000007</v>
      </c>
    </row>
    <row r="49" spans="1:6" x14ac:dyDescent="0.25">
      <c r="A49" s="3" t="s">
        <v>43</v>
      </c>
      <c r="B49" s="2">
        <v>2153.9506999999999</v>
      </c>
      <c r="C49" s="2">
        <v>0</v>
      </c>
      <c r="D49" s="2">
        <v>0</v>
      </c>
      <c r="E49" s="2">
        <v>0</v>
      </c>
      <c r="F49" s="2">
        <v>2153.9506999999999</v>
      </c>
    </row>
    <row r="50" spans="1:6" x14ac:dyDescent="0.25">
      <c r="A50" s="3" t="s">
        <v>44</v>
      </c>
      <c r="B50" s="2">
        <v>2153.0403999999999</v>
      </c>
      <c r="C50" s="2">
        <v>0</v>
      </c>
      <c r="D50" s="2">
        <v>0</v>
      </c>
      <c r="E50" s="2">
        <v>0</v>
      </c>
      <c r="F50" s="2">
        <v>2153.0403999999999</v>
      </c>
    </row>
    <row r="51" spans="1:6" x14ac:dyDescent="0.25">
      <c r="A51" s="3" t="s">
        <v>45</v>
      </c>
      <c r="B51" s="2">
        <v>220.72720000000001</v>
      </c>
      <c r="C51" s="2">
        <v>0</v>
      </c>
      <c r="D51" s="2">
        <v>0</v>
      </c>
      <c r="E51" s="2">
        <v>0</v>
      </c>
      <c r="F51" s="2">
        <v>220.72720000000001</v>
      </c>
    </row>
    <row r="52" spans="1:6" x14ac:dyDescent="0.25">
      <c r="A52" s="3" t="s">
        <v>46</v>
      </c>
      <c r="B52" s="2">
        <v>13192</v>
      </c>
      <c r="C52" s="2">
        <v>0</v>
      </c>
      <c r="D52" s="2">
        <v>0</v>
      </c>
      <c r="E52" s="2">
        <v>0</v>
      </c>
      <c r="F52" s="2">
        <v>13192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5708.6205</v>
      </c>
      <c r="C56" s="2">
        <v>1402.1955</v>
      </c>
      <c r="D56" s="2">
        <v>1409.8150000000001</v>
      </c>
      <c r="E56" s="2">
        <v>143.6508</v>
      </c>
      <c r="F56" s="2">
        <v>8664.2818000000007</v>
      </c>
    </row>
    <row r="57" spans="1:6" x14ac:dyDescent="0.25">
      <c r="A57" s="3" t="s">
        <v>43</v>
      </c>
      <c r="B57" s="2">
        <v>1402.1955</v>
      </c>
      <c r="C57" s="2">
        <v>360.315</v>
      </c>
      <c r="D57" s="2">
        <v>354.48899999999998</v>
      </c>
      <c r="E57" s="2">
        <v>36.951099999999997</v>
      </c>
      <c r="F57" s="2">
        <v>2153.9506999999999</v>
      </c>
    </row>
    <row r="58" spans="1:6" x14ac:dyDescent="0.25">
      <c r="A58" s="3" t="s">
        <v>44</v>
      </c>
      <c r="B58" s="2">
        <v>1409.8150000000001</v>
      </c>
      <c r="C58" s="2">
        <v>354.48899999999998</v>
      </c>
      <c r="D58" s="2">
        <v>352.40050000000002</v>
      </c>
      <c r="E58" s="2">
        <v>36.335900000000002</v>
      </c>
      <c r="F58" s="2">
        <v>2153.0403999999999</v>
      </c>
    </row>
    <row r="59" spans="1:6" x14ac:dyDescent="0.25">
      <c r="A59" s="3" t="s">
        <v>45</v>
      </c>
      <c r="B59" s="2">
        <v>143.6508</v>
      </c>
      <c r="C59" s="2">
        <v>36.951099999999997</v>
      </c>
      <c r="D59" s="2">
        <v>36.335900000000002</v>
      </c>
      <c r="E59" s="2">
        <v>3.7894999999999999</v>
      </c>
      <c r="F59" s="2">
        <v>220.72720000000001</v>
      </c>
    </row>
    <row r="60" spans="1:6" x14ac:dyDescent="0.25">
      <c r="A60" s="3" t="s">
        <v>46</v>
      </c>
      <c r="B60" s="2">
        <v>8664.2818000000007</v>
      </c>
      <c r="C60" s="2">
        <v>2153.9506999999999</v>
      </c>
      <c r="D60" s="2">
        <v>2153.0403999999999</v>
      </c>
      <c r="E60" s="2">
        <v>220.72720000000001</v>
      </c>
      <c r="F60" s="2">
        <v>13192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0.34320000000000001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3.7000000000000002E-3</v>
      </c>
      <c r="C65" s="2"/>
      <c r="D65" s="2"/>
      <c r="E65" s="2"/>
      <c r="F65" s="2"/>
    </row>
    <row r="66" spans="1:6" x14ac:dyDescent="0.25">
      <c r="A66" s="3" t="s">
        <v>33</v>
      </c>
      <c r="B66" s="2">
        <v>4.1000000000000003E-3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365759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13192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704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704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704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1.7540000000000001E-10</v>
      </c>
      <c r="B124" s="4">
        <v>1.7536650000000001E-10</v>
      </c>
      <c r="C124" s="2"/>
      <c r="D124" s="2"/>
      <c r="E124" s="2"/>
      <c r="F124" s="2"/>
    </row>
    <row r="125" spans="1:6" x14ac:dyDescent="0.25">
      <c r="A125" s="5">
        <v>9.7710000000000007E-10</v>
      </c>
      <c r="B125" s="4">
        <v>9.7709966E-10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704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186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 t="s">
        <v>187</v>
      </c>
      <c r="B141" s="2">
        <v>1</v>
      </c>
      <c r="C141" s="2"/>
      <c r="D141" s="2"/>
      <c r="E141" s="2"/>
      <c r="F141" s="2"/>
    </row>
    <row r="142" spans="1:6" x14ac:dyDescent="0.25">
      <c r="A142" s="3" t="s">
        <v>188</v>
      </c>
      <c r="B142" s="2">
        <v>2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8.5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1.5868</v>
      </c>
      <c r="C148" s="2">
        <v>8.5199999999999998E-2</v>
      </c>
      <c r="D148" s="2">
        <v>18.617799999999999</v>
      </c>
      <c r="E148" s="2">
        <v>0.2349</v>
      </c>
      <c r="F148" s="2">
        <v>0.10979999999999999</v>
      </c>
      <c r="G148" s="2">
        <v>2.1404000000000001</v>
      </c>
      <c r="H148" s="2">
        <v>0.22109999999999999</v>
      </c>
      <c r="I148" s="2">
        <v>0.1041</v>
      </c>
      <c r="J148" s="2">
        <v>2.1240000000000001</v>
      </c>
      <c r="K148" s="2">
        <v>-2.0428000000000002</v>
      </c>
      <c r="L148" s="2">
        <v>0.20730000000000001</v>
      </c>
      <c r="M148" s="2">
        <v>-9.8564000000000007</v>
      </c>
      <c r="N148" s="2">
        <v>381.07190000000003</v>
      </c>
      <c r="O148" s="4">
        <v>2.8000000000000002E-82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8.5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186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187</v>
      </c>
      <c r="B152" s="2">
        <v>-0.1371</v>
      </c>
      <c r="C152" s="2">
        <v>8.4400000000000003E-2</v>
      </c>
      <c r="D152" s="2">
        <v>-1.6251</v>
      </c>
      <c r="E152" s="2">
        <v>7.8100000000000003E-2</v>
      </c>
      <c r="F152" s="2">
        <v>0.10780000000000001</v>
      </c>
      <c r="G152" s="2">
        <v>0.72509999999999997</v>
      </c>
      <c r="H152" s="2">
        <v>-2.3900000000000001E-2</v>
      </c>
      <c r="I152" s="2">
        <v>0.1045</v>
      </c>
      <c r="J152" s="2">
        <v>-0.22889999999999999</v>
      </c>
      <c r="K152" s="2">
        <v>8.2900000000000001E-2</v>
      </c>
      <c r="L152" s="2">
        <v>0.2051</v>
      </c>
      <c r="M152" s="2">
        <v>0.4042</v>
      </c>
      <c r="N152" s="2">
        <v>4.2283999999999997</v>
      </c>
      <c r="O152" s="2">
        <v>0.24</v>
      </c>
      <c r="P152" s="2"/>
    </row>
    <row r="153" spans="1:16" x14ac:dyDescent="0.25">
      <c r="A153" s="3" t="s">
        <v>188</v>
      </c>
      <c r="B153" s="2">
        <v>0.1371</v>
      </c>
      <c r="C153" s="2">
        <v>8.4400000000000003E-2</v>
      </c>
      <c r="D153" s="2">
        <v>1.6251</v>
      </c>
      <c r="E153" s="2">
        <v>-7.8100000000000003E-2</v>
      </c>
      <c r="F153" s="2">
        <v>0.10780000000000001</v>
      </c>
      <c r="G153" s="2">
        <v>-0.72509999999999997</v>
      </c>
      <c r="H153" s="2">
        <v>2.3900000000000001E-2</v>
      </c>
      <c r="I153" s="2">
        <v>0.1045</v>
      </c>
      <c r="J153" s="2">
        <v>0.22889999999999999</v>
      </c>
      <c r="K153" s="2">
        <v>-8.2900000000000001E-2</v>
      </c>
      <c r="L153" s="2">
        <v>0.2051</v>
      </c>
      <c r="M153" s="2">
        <v>-0.4042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125.446</v>
      </c>
      <c r="E160" s="2">
        <v>1</v>
      </c>
      <c r="F160" s="4">
        <v>4.0999999999999998E-29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161.83160000000001</v>
      </c>
      <c r="E161" s="2">
        <v>1</v>
      </c>
      <c r="F161" s="4">
        <v>4.5000000000000004E-37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173.1926</v>
      </c>
      <c r="E162" s="2">
        <v>1</v>
      </c>
      <c r="F162" s="4">
        <v>1.5000000000000001E-39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8.9999999999999993E-3</v>
      </c>
      <c r="E163" s="2">
        <v>1</v>
      </c>
      <c r="F163" s="2">
        <v>0.92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60.8003</v>
      </c>
      <c r="E164" s="2">
        <v>1</v>
      </c>
      <c r="F164" s="4">
        <v>6.2999999999999998E-15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61.360100000000003</v>
      </c>
      <c r="E165" s="2">
        <v>1</v>
      </c>
      <c r="F165" s="4">
        <v>4.7999999999999999E-15</v>
      </c>
    </row>
    <row r="166" spans="1:9" x14ac:dyDescent="0.25">
      <c r="A166" s="3" t="s">
        <v>186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3.2683</v>
      </c>
      <c r="E167" s="2">
        <v>1</v>
      </c>
      <c r="F167" s="2">
        <v>7.0999999999999994E-2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1.1262000000000001</v>
      </c>
      <c r="E168" s="2">
        <v>1</v>
      </c>
      <c r="F168" s="2">
        <v>0.28999999999999998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0.64870000000000005</v>
      </c>
      <c r="E169" s="2">
        <v>1</v>
      </c>
      <c r="F169" s="2">
        <v>0.42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0.48849999999999999</v>
      </c>
      <c r="E170" s="2">
        <v>1</v>
      </c>
      <c r="F170" s="2">
        <v>0.48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2.9999999999999997E-4</v>
      </c>
      <c r="E171" s="2">
        <v>1</v>
      </c>
      <c r="F171" s="2">
        <v>0.99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0.13800000000000001</v>
      </c>
      <c r="E172" s="2">
        <v>1</v>
      </c>
      <c r="F172" s="2">
        <v>0.71</v>
      </c>
    </row>
    <row r="174" spans="1:9" ht="18.75" x14ac:dyDescent="0.25">
      <c r="A174" s="1" t="s">
        <v>111</v>
      </c>
    </row>
    <row r="176" spans="1:9" ht="28.5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0.65680000000000005</v>
      </c>
      <c r="C177" s="2">
        <v>1.89E-2</v>
      </c>
      <c r="D177" s="2">
        <v>0.1633</v>
      </c>
      <c r="E177" s="2">
        <v>1.6E-2</v>
      </c>
      <c r="F177" s="2">
        <v>0.16320000000000001</v>
      </c>
      <c r="G177" s="2">
        <v>1.4200000000000001E-2</v>
      </c>
      <c r="H177" s="2">
        <v>1.67E-2</v>
      </c>
      <c r="I177" s="2">
        <v>4.5999999999999999E-3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186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 t="s">
        <v>187</v>
      </c>
      <c r="B180" s="2">
        <v>0.35589999999999999</v>
      </c>
      <c r="C180" s="2" t="s">
        <v>11</v>
      </c>
      <c r="D180" s="2">
        <v>0.45939999999999998</v>
      </c>
      <c r="E180" s="2" t="s">
        <v>11</v>
      </c>
      <c r="F180" s="2">
        <v>0.4093</v>
      </c>
      <c r="G180" s="2" t="s">
        <v>11</v>
      </c>
      <c r="H180" s="2">
        <v>0.46179999999999999</v>
      </c>
      <c r="I180" s="2" t="s">
        <v>11</v>
      </c>
    </row>
    <row r="181" spans="1:9" x14ac:dyDescent="0.25">
      <c r="A181" s="3" t="s">
        <v>188</v>
      </c>
      <c r="B181" s="2">
        <v>0.64410000000000001</v>
      </c>
      <c r="C181" s="2" t="s">
        <v>11</v>
      </c>
      <c r="D181" s="2">
        <v>0.54059999999999997</v>
      </c>
      <c r="E181" s="2" t="s">
        <v>11</v>
      </c>
      <c r="F181" s="2">
        <v>0.5907</v>
      </c>
      <c r="G181" s="2" t="s">
        <v>11</v>
      </c>
      <c r="H181" s="2">
        <v>0.53820000000000001</v>
      </c>
      <c r="I181" s="2" t="s">
        <v>11</v>
      </c>
    </row>
    <row r="183" spans="1:9" ht="18.75" x14ac:dyDescent="0.25">
      <c r="A183" s="1" t="s">
        <v>113</v>
      </c>
    </row>
    <row r="185" spans="1:9" ht="28.5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0.65680000000000005</v>
      </c>
      <c r="C186" s="2">
        <v>0.1633</v>
      </c>
      <c r="D186" s="2">
        <v>0.16320000000000001</v>
      </c>
      <c r="E186" s="2">
        <v>1.67E-2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186</v>
      </c>
      <c r="B188" s="2"/>
      <c r="C188" s="2"/>
      <c r="D188" s="2"/>
      <c r="E188" s="2"/>
    </row>
    <row r="189" spans="1:9" x14ac:dyDescent="0.25">
      <c r="A189" s="3" t="s">
        <v>187</v>
      </c>
      <c r="B189" s="2">
        <v>0.60980000000000001</v>
      </c>
      <c r="C189" s="2">
        <v>0.19570000000000001</v>
      </c>
      <c r="D189" s="2">
        <v>0.17430000000000001</v>
      </c>
      <c r="E189" s="2">
        <v>2.0199999999999999E-2</v>
      </c>
    </row>
    <row r="190" spans="1:9" x14ac:dyDescent="0.25">
      <c r="A190" s="3" t="s">
        <v>188</v>
      </c>
      <c r="B190" s="2">
        <v>0.68600000000000005</v>
      </c>
      <c r="C190" s="2">
        <v>0.1431</v>
      </c>
      <c r="D190" s="2">
        <v>0.15629999999999999</v>
      </c>
      <c r="E190" s="2">
        <v>1.46E-2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186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 t="s">
        <v>187</v>
      </c>
      <c r="B196" s="2">
        <v>0.60980000000000001</v>
      </c>
      <c r="C196" s="2">
        <v>3.1300000000000001E-2</v>
      </c>
      <c r="D196" s="2">
        <v>0.19570000000000001</v>
      </c>
      <c r="E196" s="2">
        <v>2.75E-2</v>
      </c>
      <c r="F196" s="2">
        <v>0.17430000000000001</v>
      </c>
      <c r="G196" s="2">
        <v>2.29E-2</v>
      </c>
      <c r="H196" s="2">
        <v>2.0199999999999999E-2</v>
      </c>
      <c r="I196" s="2">
        <v>7.3000000000000001E-3</v>
      </c>
    </row>
    <row r="197" spans="1:9" x14ac:dyDescent="0.25">
      <c r="A197" s="3" t="s">
        <v>188</v>
      </c>
      <c r="B197" s="2">
        <v>0.68600000000000005</v>
      </c>
      <c r="C197" s="2">
        <v>2.3400000000000001E-2</v>
      </c>
      <c r="D197" s="2">
        <v>0.1431</v>
      </c>
      <c r="E197" s="2">
        <v>1.9300000000000001E-2</v>
      </c>
      <c r="F197" s="2">
        <v>0.15629999999999999</v>
      </c>
      <c r="G197" s="2">
        <v>1.8200000000000001E-2</v>
      </c>
      <c r="H197" s="2">
        <v>1.46E-2</v>
      </c>
      <c r="I197" s="2">
        <v>5.7999999999999996E-3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0.9536</v>
      </c>
      <c r="C201" s="2" t="s">
        <v>11</v>
      </c>
      <c r="D201" s="2">
        <v>3.6299999999999999E-2</v>
      </c>
      <c r="E201" s="2" t="s">
        <v>11</v>
      </c>
      <c r="F201" s="2">
        <v>9.5999999999999992E-3</v>
      </c>
      <c r="G201" s="2" t="s">
        <v>11</v>
      </c>
      <c r="H201" s="2">
        <v>5.0000000000000001E-4</v>
      </c>
      <c r="I201" s="2" t="s">
        <v>11</v>
      </c>
    </row>
    <row r="202" spans="1:9" x14ac:dyDescent="0.25">
      <c r="A202" s="3">
        <v>2</v>
      </c>
      <c r="B202" s="2">
        <v>0.14580000000000001</v>
      </c>
      <c r="C202" s="2" t="s">
        <v>11</v>
      </c>
      <c r="D202" s="2">
        <v>0.80149999999999999</v>
      </c>
      <c r="E202" s="2" t="s">
        <v>11</v>
      </c>
      <c r="F202" s="2">
        <v>5.2499999999999998E-2</v>
      </c>
      <c r="G202" s="2" t="s">
        <v>11</v>
      </c>
      <c r="H202" s="2">
        <v>2.0000000000000001E-4</v>
      </c>
      <c r="I202" s="2" t="s">
        <v>11</v>
      </c>
    </row>
    <row r="203" spans="1:9" x14ac:dyDescent="0.25">
      <c r="A203" s="3">
        <v>3</v>
      </c>
      <c r="B203" s="2">
        <v>3.8699999999999998E-2</v>
      </c>
      <c r="C203" s="2" t="s">
        <v>11</v>
      </c>
      <c r="D203" s="2">
        <v>5.2499999999999998E-2</v>
      </c>
      <c r="E203" s="2" t="s">
        <v>11</v>
      </c>
      <c r="F203" s="2">
        <v>0.90580000000000005</v>
      </c>
      <c r="G203" s="2" t="s">
        <v>11</v>
      </c>
      <c r="H203" s="2">
        <v>3.0000000000000001E-3</v>
      </c>
      <c r="I203" s="2" t="s">
        <v>11</v>
      </c>
    </row>
    <row r="204" spans="1:9" x14ac:dyDescent="0.25">
      <c r="A204" s="3">
        <v>4</v>
      </c>
      <c r="B204" s="2">
        <v>1.9400000000000001E-2</v>
      </c>
      <c r="C204" s="2" t="s">
        <v>11</v>
      </c>
      <c r="D204" s="2">
        <v>1.9E-3</v>
      </c>
      <c r="E204" s="2" t="s">
        <v>11</v>
      </c>
      <c r="F204" s="2">
        <v>2.9499999999999998E-2</v>
      </c>
      <c r="G204" s="2" t="s">
        <v>11</v>
      </c>
      <c r="H204" s="2">
        <v>0.94920000000000004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P204"/>
  <sheetViews>
    <sheetView topLeftCell="A176" workbookViewId="0"/>
  </sheetViews>
  <sheetFormatPr defaultRowHeight="15" x14ac:dyDescent="0.25"/>
  <cols>
    <col min="1" max="1" width="30.425781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18.75" x14ac:dyDescent="0.25">
      <c r="A1" s="1" t="s">
        <v>257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13124</v>
      </c>
      <c r="C5" s="2"/>
      <c r="D5" s="2"/>
      <c r="E5" s="2"/>
      <c r="F5" s="2"/>
    </row>
    <row r="6" spans="1:6" x14ac:dyDescent="0.25">
      <c r="A6" s="3" t="s">
        <v>2</v>
      </c>
      <c r="B6" s="2">
        <v>6</v>
      </c>
      <c r="C6" s="2"/>
      <c r="D6" s="2"/>
      <c r="E6" s="2"/>
      <c r="F6" s="2"/>
    </row>
    <row r="7" spans="1:6" x14ac:dyDescent="0.25">
      <c r="A7" s="3" t="s">
        <v>3</v>
      </c>
      <c r="B7" s="2">
        <v>14.7516</v>
      </c>
      <c r="C7" s="2"/>
      <c r="D7" s="2"/>
      <c r="E7" s="2"/>
      <c r="F7" s="2"/>
    </row>
    <row r="8" spans="1:6" x14ac:dyDescent="0.25">
      <c r="A8" s="3" t="s">
        <v>4</v>
      </c>
      <c r="B8" s="2">
        <v>14.7516</v>
      </c>
      <c r="C8" s="2"/>
      <c r="D8" s="2"/>
      <c r="E8" s="2"/>
      <c r="F8" s="2"/>
    </row>
    <row r="9" spans="1:6" x14ac:dyDescent="0.25">
      <c r="A9" s="3" t="s">
        <v>5</v>
      </c>
      <c r="B9" s="2">
        <v>393439</v>
      </c>
      <c r="C9" s="2"/>
      <c r="D9" s="2"/>
      <c r="E9" s="2"/>
      <c r="F9" s="2"/>
    </row>
    <row r="10" spans="1:6" x14ac:dyDescent="0.25">
      <c r="A10" s="3" t="s">
        <v>6</v>
      </c>
      <c r="B10" s="2">
        <v>393439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-12276.3832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-12276.3832</v>
      </c>
      <c r="C27" s="2"/>
      <c r="D27" s="2"/>
      <c r="E27" s="2"/>
      <c r="F27" s="2"/>
    </row>
    <row r="28" spans="1:6" x14ac:dyDescent="0.25">
      <c r="A28" s="3" t="s">
        <v>24</v>
      </c>
      <c r="B28" s="2">
        <v>24609.6597</v>
      </c>
      <c r="C28" s="2"/>
      <c r="D28" s="2"/>
      <c r="E28" s="2"/>
      <c r="F28" s="2"/>
    </row>
    <row r="29" spans="1:6" x14ac:dyDescent="0.25">
      <c r="A29" s="3" t="s">
        <v>25</v>
      </c>
      <c r="B29" s="2">
        <v>24564.766500000002</v>
      </c>
      <c r="C29" s="2"/>
      <c r="D29" s="2"/>
      <c r="E29" s="2"/>
      <c r="F29" s="2"/>
    </row>
    <row r="30" spans="1:6" x14ac:dyDescent="0.25">
      <c r="A30" s="3" t="s">
        <v>26</v>
      </c>
      <c r="B30" s="2">
        <v>24570.766500000002</v>
      </c>
      <c r="C30" s="2"/>
      <c r="D30" s="2"/>
      <c r="E30" s="2"/>
      <c r="F30" s="2"/>
    </row>
    <row r="31" spans="1:6" x14ac:dyDescent="0.25">
      <c r="A31" s="3" t="s">
        <v>27</v>
      </c>
      <c r="B31" s="2">
        <v>24615.6597</v>
      </c>
      <c r="C31" s="2"/>
      <c r="D31" s="2"/>
      <c r="E31" s="2"/>
      <c r="F31" s="2"/>
    </row>
    <row r="32" spans="1:6" x14ac:dyDescent="0.25">
      <c r="A32" s="3" t="s">
        <v>28</v>
      </c>
      <c r="B32" s="2">
        <v>24590.592199999999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0.34370000000000001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2.3E-3</v>
      </c>
      <c r="C38" s="2"/>
      <c r="D38" s="2"/>
      <c r="E38" s="2"/>
      <c r="F38" s="2"/>
    </row>
    <row r="39" spans="1:6" x14ac:dyDescent="0.25">
      <c r="A39" s="3" t="s">
        <v>33</v>
      </c>
      <c r="B39" s="2">
        <v>2.0999999999999999E-3</v>
      </c>
      <c r="C39" s="2"/>
      <c r="D39" s="2"/>
      <c r="E39" s="2"/>
      <c r="F39" s="2"/>
    </row>
    <row r="40" spans="1:6" x14ac:dyDescent="0.25">
      <c r="A40" s="3" t="s">
        <v>34</v>
      </c>
      <c r="B40" s="2">
        <v>-24545.624800000001</v>
      </c>
      <c r="C40" s="2"/>
      <c r="D40" s="2"/>
      <c r="E40" s="2"/>
      <c r="F40" s="2"/>
    </row>
    <row r="41" spans="1:6" x14ac:dyDescent="0.25">
      <c r="A41" s="3" t="s">
        <v>35</v>
      </c>
      <c r="B41" s="2">
        <v>12269.241599999999</v>
      </c>
      <c r="C41" s="2"/>
      <c r="D41" s="2"/>
      <c r="E41" s="2"/>
      <c r="F41" s="2"/>
    </row>
    <row r="42" spans="1:6" x14ac:dyDescent="0.25">
      <c r="A42" s="3" t="s">
        <v>36</v>
      </c>
      <c r="B42" s="2">
        <v>49091.249600000003</v>
      </c>
      <c r="C42" s="2"/>
      <c r="D42" s="2"/>
      <c r="E42" s="2"/>
      <c r="F42" s="2"/>
    </row>
    <row r="43" spans="1:6" x14ac:dyDescent="0.25">
      <c r="A43" s="3" t="s">
        <v>37</v>
      </c>
      <c r="B43" s="2">
        <v>49223.036</v>
      </c>
      <c r="C43" s="2"/>
      <c r="D43" s="2"/>
      <c r="E43" s="2"/>
      <c r="F43" s="2"/>
    </row>
    <row r="44" spans="1:6" x14ac:dyDescent="0.25">
      <c r="A44" s="3" t="s">
        <v>38</v>
      </c>
      <c r="B44" s="2">
        <v>49148.142800000001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8613.7947000000004</v>
      </c>
      <c r="C48" s="2">
        <v>0</v>
      </c>
      <c r="D48" s="2">
        <v>0</v>
      </c>
      <c r="E48" s="2">
        <v>0</v>
      </c>
      <c r="F48" s="2">
        <v>8613.7947000000004</v>
      </c>
    </row>
    <row r="49" spans="1:6" x14ac:dyDescent="0.25">
      <c r="A49" s="3" t="s">
        <v>43</v>
      </c>
      <c r="B49" s="2">
        <v>2147.7606000000001</v>
      </c>
      <c r="C49" s="2">
        <v>0</v>
      </c>
      <c r="D49" s="2">
        <v>0</v>
      </c>
      <c r="E49" s="2">
        <v>0</v>
      </c>
      <c r="F49" s="2">
        <v>2147.7606000000001</v>
      </c>
    </row>
    <row r="50" spans="1:6" x14ac:dyDescent="0.25">
      <c r="A50" s="3" t="s">
        <v>44</v>
      </c>
      <c r="B50" s="2">
        <v>2142.2692000000002</v>
      </c>
      <c r="C50" s="2">
        <v>0</v>
      </c>
      <c r="D50" s="2">
        <v>0</v>
      </c>
      <c r="E50" s="2">
        <v>0</v>
      </c>
      <c r="F50" s="2">
        <v>2142.2692000000002</v>
      </c>
    </row>
    <row r="51" spans="1:6" x14ac:dyDescent="0.25">
      <c r="A51" s="3" t="s">
        <v>45</v>
      </c>
      <c r="B51" s="2">
        <v>220.1756</v>
      </c>
      <c r="C51" s="2">
        <v>0</v>
      </c>
      <c r="D51" s="2">
        <v>0</v>
      </c>
      <c r="E51" s="2">
        <v>0</v>
      </c>
      <c r="F51" s="2">
        <v>220.1756</v>
      </c>
    </row>
    <row r="52" spans="1:6" x14ac:dyDescent="0.25">
      <c r="A52" s="3" t="s">
        <v>46</v>
      </c>
      <c r="B52" s="2">
        <v>13124</v>
      </c>
      <c r="C52" s="2">
        <v>0</v>
      </c>
      <c r="D52" s="2">
        <v>0</v>
      </c>
      <c r="E52" s="2">
        <v>0</v>
      </c>
      <c r="F52" s="2">
        <v>13124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5663.6225000000004</v>
      </c>
      <c r="C56" s="2">
        <v>1403.749</v>
      </c>
      <c r="D56" s="2">
        <v>1403.6612</v>
      </c>
      <c r="E56" s="2">
        <v>142.762</v>
      </c>
      <c r="F56" s="2">
        <v>8613.7947000000004</v>
      </c>
    </row>
    <row r="57" spans="1:6" x14ac:dyDescent="0.25">
      <c r="A57" s="3" t="s">
        <v>43</v>
      </c>
      <c r="B57" s="2">
        <v>1403.749</v>
      </c>
      <c r="C57" s="2">
        <v>354.959</v>
      </c>
      <c r="D57" s="2">
        <v>351.99279999999999</v>
      </c>
      <c r="E57" s="2">
        <v>37.059699999999999</v>
      </c>
      <c r="F57" s="2">
        <v>2147.7606000000001</v>
      </c>
    </row>
    <row r="58" spans="1:6" x14ac:dyDescent="0.25">
      <c r="A58" s="3" t="s">
        <v>44</v>
      </c>
      <c r="B58" s="2">
        <v>1403.6612</v>
      </c>
      <c r="C58" s="2">
        <v>351.99279999999999</v>
      </c>
      <c r="D58" s="2">
        <v>350.25900000000001</v>
      </c>
      <c r="E58" s="2">
        <v>36.356200000000001</v>
      </c>
      <c r="F58" s="2">
        <v>2142.2692000000002</v>
      </c>
    </row>
    <row r="59" spans="1:6" x14ac:dyDescent="0.25">
      <c r="A59" s="3" t="s">
        <v>45</v>
      </c>
      <c r="B59" s="2">
        <v>142.762</v>
      </c>
      <c r="C59" s="2">
        <v>37.059699999999999</v>
      </c>
      <c r="D59" s="2">
        <v>36.356200000000001</v>
      </c>
      <c r="E59" s="2">
        <v>3.9977</v>
      </c>
      <c r="F59" s="2">
        <v>220.1756</v>
      </c>
    </row>
    <row r="60" spans="1:6" x14ac:dyDescent="0.25">
      <c r="A60" s="3" t="s">
        <v>46</v>
      </c>
      <c r="B60" s="2">
        <v>8613.7947000000004</v>
      </c>
      <c r="C60" s="2">
        <v>2147.7606000000001</v>
      </c>
      <c r="D60" s="2">
        <v>2142.2692000000002</v>
      </c>
      <c r="E60" s="2">
        <v>220.1756</v>
      </c>
      <c r="F60" s="2">
        <v>13124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0.34370000000000001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2.3E-3</v>
      </c>
      <c r="C65" s="2"/>
      <c r="D65" s="2"/>
      <c r="E65" s="2"/>
      <c r="F65" s="2"/>
    </row>
    <row r="66" spans="1:6" x14ac:dyDescent="0.25">
      <c r="A66" s="3" t="s">
        <v>33</v>
      </c>
      <c r="B66" s="2">
        <v>2.0999999999999999E-3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256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0</v>
      </c>
      <c r="C79" s="2"/>
      <c r="D79" s="2"/>
      <c r="E79" s="2"/>
      <c r="F79" s="2"/>
    </row>
    <row r="80" spans="1:6" x14ac:dyDescent="0.25">
      <c r="A80" s="3" t="s">
        <v>61</v>
      </c>
      <c r="B80" s="2">
        <v>200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13124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703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703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703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1.7540000000000001E-10</v>
      </c>
      <c r="B124" s="4">
        <v>1.7536650000000001E-10</v>
      </c>
      <c r="C124" s="2"/>
      <c r="D124" s="2"/>
      <c r="E124" s="2"/>
      <c r="F124" s="2"/>
    </row>
    <row r="125" spans="1:6" x14ac:dyDescent="0.25">
      <c r="A125" s="5">
        <v>9.7710000000000007E-10</v>
      </c>
      <c r="B125" s="4">
        <v>9.7709966E-10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703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258</v>
      </c>
      <c r="B140" s="2" t="s">
        <v>95</v>
      </c>
      <c r="C140" s="2">
        <v>2</v>
      </c>
      <c r="D140" s="2"/>
      <c r="E140" s="2"/>
      <c r="F140" s="2"/>
    </row>
    <row r="141" spans="1:6" x14ac:dyDescent="0.25">
      <c r="A141" s="3" t="s">
        <v>187</v>
      </c>
      <c r="B141" s="2">
        <v>1</v>
      </c>
      <c r="C141" s="2"/>
      <c r="D141" s="2"/>
      <c r="E141" s="2"/>
      <c r="F141" s="2"/>
    </row>
    <row r="142" spans="1:6" x14ac:dyDescent="0.25">
      <c r="A142" s="3" t="s">
        <v>188</v>
      </c>
      <c r="B142" s="2">
        <v>2</v>
      </c>
      <c r="C142" s="2"/>
      <c r="D142" s="2"/>
      <c r="E142" s="2"/>
      <c r="F142" s="2"/>
    </row>
    <row r="144" spans="1:6" ht="18.75" x14ac:dyDescent="0.25">
      <c r="A144" s="1" t="s">
        <v>102</v>
      </c>
    </row>
    <row r="146" spans="1:16" x14ac:dyDescent="0.25">
      <c r="A146" s="3" t="s">
        <v>103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8.5" x14ac:dyDescent="0.25">
      <c r="A147" s="3" t="s">
        <v>104</v>
      </c>
      <c r="B147" s="3" t="s">
        <v>42</v>
      </c>
      <c r="C147" s="3" t="s">
        <v>105</v>
      </c>
      <c r="D147" s="3" t="s">
        <v>123</v>
      </c>
      <c r="E147" s="3" t="s">
        <v>43</v>
      </c>
      <c r="F147" s="3" t="s">
        <v>105</v>
      </c>
      <c r="G147" s="3" t="s">
        <v>123</v>
      </c>
      <c r="H147" s="3" t="s">
        <v>44</v>
      </c>
      <c r="I147" s="3" t="s">
        <v>105</v>
      </c>
      <c r="J147" s="3" t="s">
        <v>123</v>
      </c>
      <c r="K147" s="3" t="s">
        <v>45</v>
      </c>
      <c r="L147" s="3" t="s">
        <v>105</v>
      </c>
      <c r="M147" s="3" t="s">
        <v>123</v>
      </c>
      <c r="N147" s="3" t="s">
        <v>106</v>
      </c>
      <c r="O147" s="3" t="s">
        <v>9</v>
      </c>
      <c r="P147" s="2"/>
    </row>
    <row r="148" spans="1:16" x14ac:dyDescent="0.25">
      <c r="A148" s="3"/>
      <c r="B148" s="2">
        <v>1.5689</v>
      </c>
      <c r="C148" s="2">
        <v>8.7300000000000003E-2</v>
      </c>
      <c r="D148" s="2">
        <v>17.976299999999998</v>
      </c>
      <c r="E148" s="2">
        <v>0.23169999999999999</v>
      </c>
      <c r="F148" s="2">
        <v>0.1123</v>
      </c>
      <c r="G148" s="2">
        <v>2.0632000000000001</v>
      </c>
      <c r="H148" s="2">
        <v>0.21060000000000001</v>
      </c>
      <c r="I148" s="2">
        <v>0.1072</v>
      </c>
      <c r="J148" s="2">
        <v>1.9634</v>
      </c>
      <c r="K148" s="2">
        <v>-2.0110999999999999</v>
      </c>
      <c r="L148" s="2">
        <v>0.20749999999999999</v>
      </c>
      <c r="M148" s="2">
        <v>-9.6941000000000006</v>
      </c>
      <c r="N148" s="2">
        <v>345.58089999999999</v>
      </c>
      <c r="O148" s="4">
        <v>1.3E-74</v>
      </c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8.5" x14ac:dyDescent="0.25">
      <c r="A150" s="3" t="s">
        <v>107</v>
      </c>
      <c r="B150" s="3" t="s">
        <v>42</v>
      </c>
      <c r="C150" s="3" t="s">
        <v>105</v>
      </c>
      <c r="D150" s="3" t="s">
        <v>123</v>
      </c>
      <c r="E150" s="3" t="s">
        <v>43</v>
      </c>
      <c r="F150" s="3" t="s">
        <v>105</v>
      </c>
      <c r="G150" s="3" t="s">
        <v>123</v>
      </c>
      <c r="H150" s="3" t="s">
        <v>44</v>
      </c>
      <c r="I150" s="3" t="s">
        <v>105</v>
      </c>
      <c r="J150" s="3" t="s">
        <v>123</v>
      </c>
      <c r="K150" s="3" t="s">
        <v>45</v>
      </c>
      <c r="L150" s="3" t="s">
        <v>105</v>
      </c>
      <c r="M150" s="3" t="s">
        <v>123</v>
      </c>
      <c r="N150" s="3" t="s">
        <v>106</v>
      </c>
      <c r="O150" s="3" t="s">
        <v>9</v>
      </c>
      <c r="P150" s="2"/>
    </row>
    <row r="151" spans="1:16" x14ac:dyDescent="0.25">
      <c r="A151" s="3" t="s">
        <v>258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3" t="s">
        <v>187</v>
      </c>
      <c r="B152" s="2">
        <v>-0.1424</v>
      </c>
      <c r="C152" s="2">
        <v>8.5500000000000007E-2</v>
      </c>
      <c r="D152" s="2">
        <v>-1.6641999999999999</v>
      </c>
      <c r="E152" s="2">
        <v>7.1999999999999998E-3</v>
      </c>
      <c r="F152" s="2">
        <v>0.1104</v>
      </c>
      <c r="G152" s="2">
        <v>6.54E-2</v>
      </c>
      <c r="H152" s="2">
        <v>-5.33E-2</v>
      </c>
      <c r="I152" s="2">
        <v>0.1069</v>
      </c>
      <c r="J152" s="2">
        <v>-0.49859999999999999</v>
      </c>
      <c r="K152" s="2">
        <v>0.18840000000000001</v>
      </c>
      <c r="L152" s="2">
        <v>0.20580000000000001</v>
      </c>
      <c r="M152" s="2">
        <v>0.91569999999999996</v>
      </c>
      <c r="N152" s="2">
        <v>3.0007999999999999</v>
      </c>
      <c r="O152" s="2">
        <v>0.39</v>
      </c>
      <c r="P152" s="2"/>
    </row>
    <row r="153" spans="1:16" x14ac:dyDescent="0.25">
      <c r="A153" s="3" t="s">
        <v>188</v>
      </c>
      <c r="B153" s="2">
        <v>0.1424</v>
      </c>
      <c r="C153" s="2">
        <v>8.5500000000000007E-2</v>
      </c>
      <c r="D153" s="2">
        <v>1.6641999999999999</v>
      </c>
      <c r="E153" s="2">
        <v>-7.1999999999999998E-3</v>
      </c>
      <c r="F153" s="2">
        <v>0.1104</v>
      </c>
      <c r="G153" s="2">
        <v>-6.54E-2</v>
      </c>
      <c r="H153" s="2">
        <v>5.33E-2</v>
      </c>
      <c r="I153" s="2">
        <v>0.1069</v>
      </c>
      <c r="J153" s="2">
        <v>0.49859999999999999</v>
      </c>
      <c r="K153" s="2">
        <v>-0.18840000000000001</v>
      </c>
      <c r="L153" s="2">
        <v>0.20580000000000001</v>
      </c>
      <c r="M153" s="2">
        <v>-0.91569999999999996</v>
      </c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6" spans="1:16" ht="18.75" x14ac:dyDescent="0.25">
      <c r="A156" s="1" t="s">
        <v>108</v>
      </c>
    </row>
    <row r="158" spans="1:16" x14ac:dyDescent="0.25">
      <c r="A158" s="3" t="s">
        <v>103</v>
      </c>
      <c r="B158" s="3"/>
      <c r="C158" s="3"/>
      <c r="D158" s="3" t="s">
        <v>106</v>
      </c>
      <c r="E158" s="3" t="s">
        <v>109</v>
      </c>
      <c r="F158" s="3" t="s">
        <v>9</v>
      </c>
    </row>
    <row r="159" spans="1:16" x14ac:dyDescent="0.25">
      <c r="A159" s="3" t="s">
        <v>104</v>
      </c>
      <c r="B159" s="2"/>
      <c r="C159" s="2"/>
      <c r="D159" s="2"/>
      <c r="E159" s="2"/>
      <c r="F159" s="2"/>
    </row>
    <row r="160" spans="1:16" x14ac:dyDescent="0.25">
      <c r="A160" s="3" t="s">
        <v>110</v>
      </c>
      <c r="B160" s="3">
        <v>1</v>
      </c>
      <c r="C160" s="3">
        <v>2</v>
      </c>
      <c r="D160" s="2">
        <v>112.39490000000001</v>
      </c>
      <c r="E160" s="2">
        <v>1</v>
      </c>
      <c r="F160" s="4">
        <v>2.8999999999999998E-26</v>
      </c>
    </row>
    <row r="161" spans="1:9" x14ac:dyDescent="0.25">
      <c r="A161" s="3" t="s">
        <v>110</v>
      </c>
      <c r="B161" s="3">
        <v>1</v>
      </c>
      <c r="C161" s="3">
        <v>3</v>
      </c>
      <c r="D161" s="2">
        <v>142.85040000000001</v>
      </c>
      <c r="E161" s="2">
        <v>1</v>
      </c>
      <c r="F161" s="4">
        <v>6.2999999999999997E-33</v>
      </c>
    </row>
    <row r="162" spans="1:9" x14ac:dyDescent="0.25">
      <c r="A162" s="3" t="s">
        <v>110</v>
      </c>
      <c r="B162" s="3">
        <v>1</v>
      </c>
      <c r="C162" s="3">
        <v>4</v>
      </c>
      <c r="D162" s="2">
        <v>167.73859999999999</v>
      </c>
      <c r="E162" s="2">
        <v>1</v>
      </c>
      <c r="F162" s="4">
        <v>2.3E-38</v>
      </c>
    </row>
    <row r="163" spans="1:9" x14ac:dyDescent="0.25">
      <c r="A163" s="3" t="s">
        <v>110</v>
      </c>
      <c r="B163" s="3">
        <v>2</v>
      </c>
      <c r="C163" s="3">
        <v>3</v>
      </c>
      <c r="D163" s="2">
        <v>1.9099999999999999E-2</v>
      </c>
      <c r="E163" s="2">
        <v>1</v>
      </c>
      <c r="F163" s="2">
        <v>0.89</v>
      </c>
    </row>
    <row r="164" spans="1:9" x14ac:dyDescent="0.25">
      <c r="A164" s="3" t="s">
        <v>110</v>
      </c>
      <c r="B164" s="3">
        <v>2</v>
      </c>
      <c r="C164" s="3">
        <v>4</v>
      </c>
      <c r="D164" s="2">
        <v>58.5077</v>
      </c>
      <c r="E164" s="2">
        <v>1</v>
      </c>
      <c r="F164" s="4">
        <v>2E-14</v>
      </c>
    </row>
    <row r="165" spans="1:9" x14ac:dyDescent="0.25">
      <c r="A165" s="3" t="s">
        <v>110</v>
      </c>
      <c r="B165" s="3">
        <v>3</v>
      </c>
      <c r="C165" s="3">
        <v>4</v>
      </c>
      <c r="D165" s="2">
        <v>58.386000000000003</v>
      </c>
      <c r="E165" s="2">
        <v>1</v>
      </c>
      <c r="F165" s="4">
        <v>2.2000000000000001E-14</v>
      </c>
    </row>
    <row r="166" spans="1:9" x14ac:dyDescent="0.25">
      <c r="A166" s="3" t="s">
        <v>258</v>
      </c>
      <c r="B166" s="2"/>
      <c r="C166" s="2"/>
      <c r="D166" s="2"/>
      <c r="E166" s="2"/>
      <c r="F166" s="2"/>
    </row>
    <row r="167" spans="1:9" x14ac:dyDescent="0.25">
      <c r="A167" s="3" t="s">
        <v>110</v>
      </c>
      <c r="B167" s="3">
        <v>1</v>
      </c>
      <c r="C167" s="3">
        <v>2</v>
      </c>
      <c r="D167" s="2">
        <v>1.4867999999999999</v>
      </c>
      <c r="E167" s="2">
        <v>1</v>
      </c>
      <c r="F167" s="2">
        <v>0.22</v>
      </c>
    </row>
    <row r="168" spans="1:9" x14ac:dyDescent="0.25">
      <c r="A168" s="3" t="s">
        <v>110</v>
      </c>
      <c r="B168" s="3">
        <v>1</v>
      </c>
      <c r="C168" s="3">
        <v>3</v>
      </c>
      <c r="D168" s="2">
        <v>0.63100000000000001</v>
      </c>
      <c r="E168" s="2">
        <v>1</v>
      </c>
      <c r="F168" s="2">
        <v>0.43</v>
      </c>
    </row>
    <row r="169" spans="1:9" x14ac:dyDescent="0.25">
      <c r="A169" s="3" t="s">
        <v>110</v>
      </c>
      <c r="B169" s="3">
        <v>1</v>
      </c>
      <c r="C169" s="3">
        <v>4</v>
      </c>
      <c r="D169" s="2">
        <v>1.46</v>
      </c>
      <c r="E169" s="2">
        <v>1</v>
      </c>
      <c r="F169" s="2">
        <v>0.23</v>
      </c>
    </row>
    <row r="170" spans="1:9" x14ac:dyDescent="0.25">
      <c r="A170" s="3" t="s">
        <v>110</v>
      </c>
      <c r="B170" s="3">
        <v>2</v>
      </c>
      <c r="C170" s="3">
        <v>3</v>
      </c>
      <c r="D170" s="2">
        <v>0.16020000000000001</v>
      </c>
      <c r="E170" s="2">
        <v>1</v>
      </c>
      <c r="F170" s="2">
        <v>0.69</v>
      </c>
    </row>
    <row r="171" spans="1:9" x14ac:dyDescent="0.25">
      <c r="A171" s="3" t="s">
        <v>110</v>
      </c>
      <c r="B171" s="3">
        <v>2</v>
      </c>
      <c r="C171" s="3">
        <v>4</v>
      </c>
      <c r="D171" s="2">
        <v>0.39029999999999998</v>
      </c>
      <c r="E171" s="2">
        <v>1</v>
      </c>
      <c r="F171" s="2">
        <v>0.53</v>
      </c>
    </row>
    <row r="172" spans="1:9" x14ac:dyDescent="0.25">
      <c r="A172" s="3" t="s">
        <v>110</v>
      </c>
      <c r="B172" s="3">
        <v>3</v>
      </c>
      <c r="C172" s="3">
        <v>4</v>
      </c>
      <c r="D172" s="2">
        <v>0.69920000000000004</v>
      </c>
      <c r="E172" s="2">
        <v>1</v>
      </c>
      <c r="F172" s="2">
        <v>0.4</v>
      </c>
    </row>
    <row r="174" spans="1:9" ht="18.75" x14ac:dyDescent="0.25">
      <c r="A174" s="1" t="s">
        <v>111</v>
      </c>
    </row>
    <row r="176" spans="1:9" ht="28.5" x14ac:dyDescent="0.25">
      <c r="A176" s="2"/>
      <c r="B176" s="3" t="s">
        <v>42</v>
      </c>
      <c r="C176" s="3" t="s">
        <v>105</v>
      </c>
      <c r="D176" s="3" t="s">
        <v>43</v>
      </c>
      <c r="E176" s="3" t="s">
        <v>105</v>
      </c>
      <c r="F176" s="3" t="s">
        <v>44</v>
      </c>
      <c r="G176" s="3" t="s">
        <v>105</v>
      </c>
      <c r="H176" s="3" t="s">
        <v>45</v>
      </c>
      <c r="I176" s="3" t="s">
        <v>105</v>
      </c>
    </row>
    <row r="177" spans="1:9" x14ac:dyDescent="0.25">
      <c r="A177" s="3" t="s">
        <v>112</v>
      </c>
      <c r="B177" s="2">
        <v>0.65629999999999999</v>
      </c>
      <c r="C177" s="2">
        <v>1.9E-2</v>
      </c>
      <c r="D177" s="2">
        <v>0.16370000000000001</v>
      </c>
      <c r="E177" s="2">
        <v>1.61E-2</v>
      </c>
      <c r="F177" s="2">
        <v>0.16320000000000001</v>
      </c>
      <c r="G177" s="2">
        <v>1.43E-2</v>
      </c>
      <c r="H177" s="2">
        <v>1.6799999999999999E-2</v>
      </c>
      <c r="I177" s="2">
        <v>4.5999999999999999E-3</v>
      </c>
    </row>
    <row r="178" spans="1:9" x14ac:dyDescent="0.25">
      <c r="A178" s="3" t="s">
        <v>107</v>
      </c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3" t="s">
        <v>258</v>
      </c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3" t="s">
        <v>187</v>
      </c>
      <c r="B180" s="2">
        <v>0.2949</v>
      </c>
      <c r="C180" s="2" t="s">
        <v>11</v>
      </c>
      <c r="D180" s="2">
        <v>0.36059999999999998</v>
      </c>
      <c r="E180" s="2" t="s">
        <v>11</v>
      </c>
      <c r="F180" s="2">
        <v>0.3332</v>
      </c>
      <c r="G180" s="2" t="s">
        <v>11</v>
      </c>
      <c r="H180" s="2">
        <v>0.4476</v>
      </c>
      <c r="I180" s="2" t="s">
        <v>11</v>
      </c>
    </row>
    <row r="181" spans="1:9" x14ac:dyDescent="0.25">
      <c r="A181" s="3" t="s">
        <v>188</v>
      </c>
      <c r="B181" s="2">
        <v>0.70509999999999995</v>
      </c>
      <c r="C181" s="2" t="s">
        <v>11</v>
      </c>
      <c r="D181" s="2">
        <v>0.63939999999999997</v>
      </c>
      <c r="E181" s="2" t="s">
        <v>11</v>
      </c>
      <c r="F181" s="2">
        <v>0.66679999999999995</v>
      </c>
      <c r="G181" s="2" t="s">
        <v>11</v>
      </c>
      <c r="H181" s="2">
        <v>0.5524</v>
      </c>
      <c r="I181" s="2" t="s">
        <v>11</v>
      </c>
    </row>
    <row r="183" spans="1:9" ht="18.75" x14ac:dyDescent="0.25">
      <c r="A183" s="1" t="s">
        <v>113</v>
      </c>
    </row>
    <row r="185" spans="1:9" ht="28.5" x14ac:dyDescent="0.25">
      <c r="A185" s="2"/>
      <c r="B185" s="3" t="s">
        <v>42</v>
      </c>
      <c r="C185" s="3" t="s">
        <v>43</v>
      </c>
      <c r="D185" s="3" t="s">
        <v>44</v>
      </c>
      <c r="E185" s="3" t="s">
        <v>45</v>
      </c>
    </row>
    <row r="186" spans="1:9" x14ac:dyDescent="0.25">
      <c r="A186" s="3" t="s">
        <v>114</v>
      </c>
      <c r="B186" s="2">
        <v>0.65629999999999999</v>
      </c>
      <c r="C186" s="2">
        <v>0.16370000000000001</v>
      </c>
      <c r="D186" s="2">
        <v>0.16320000000000001</v>
      </c>
      <c r="E186" s="2">
        <v>1.6799999999999999E-2</v>
      </c>
    </row>
    <row r="187" spans="1:9" x14ac:dyDescent="0.25">
      <c r="A187" s="3" t="s">
        <v>107</v>
      </c>
      <c r="B187" s="2"/>
      <c r="C187" s="2"/>
      <c r="D187" s="2"/>
      <c r="E187" s="2"/>
    </row>
    <row r="188" spans="1:9" x14ac:dyDescent="0.25">
      <c r="A188" s="3" t="s">
        <v>258</v>
      </c>
      <c r="B188" s="2"/>
      <c r="C188" s="2"/>
      <c r="D188" s="2"/>
      <c r="E188" s="2"/>
    </row>
    <row r="189" spans="1:9" x14ac:dyDescent="0.25">
      <c r="A189" s="3" t="s">
        <v>187</v>
      </c>
      <c r="B189" s="2">
        <v>0.61550000000000005</v>
      </c>
      <c r="C189" s="2">
        <v>0.18770000000000001</v>
      </c>
      <c r="D189" s="2">
        <v>0.17299999999999999</v>
      </c>
      <c r="E189" s="2">
        <v>2.3900000000000001E-2</v>
      </c>
    </row>
    <row r="190" spans="1:9" x14ac:dyDescent="0.25">
      <c r="A190" s="3" t="s">
        <v>188</v>
      </c>
      <c r="B190" s="2">
        <v>0.67510000000000003</v>
      </c>
      <c r="C190" s="2">
        <v>0.15260000000000001</v>
      </c>
      <c r="D190" s="2">
        <v>0.1588</v>
      </c>
      <c r="E190" s="2">
        <v>1.35E-2</v>
      </c>
    </row>
    <row r="192" spans="1:9" ht="18.75" x14ac:dyDescent="0.25">
      <c r="A192" s="1" t="s">
        <v>115</v>
      </c>
    </row>
    <row r="194" spans="1:9" x14ac:dyDescent="0.25">
      <c r="A194" s="2"/>
      <c r="B194" s="35" t="s">
        <v>110</v>
      </c>
      <c r="C194" s="36"/>
      <c r="D194" s="36"/>
      <c r="E194" s="36"/>
      <c r="F194" s="36"/>
      <c r="G194" s="36"/>
      <c r="H194" s="36"/>
      <c r="I194" s="37"/>
    </row>
    <row r="195" spans="1:9" x14ac:dyDescent="0.25">
      <c r="A195" s="3" t="s">
        <v>258</v>
      </c>
      <c r="B195" s="3">
        <v>1</v>
      </c>
      <c r="C195" s="3" t="s">
        <v>105</v>
      </c>
      <c r="D195" s="3">
        <v>2</v>
      </c>
      <c r="E195" s="3" t="s">
        <v>105</v>
      </c>
      <c r="F195" s="3">
        <v>3</v>
      </c>
      <c r="G195" s="3" t="s">
        <v>105</v>
      </c>
      <c r="H195" s="3">
        <v>4</v>
      </c>
      <c r="I195" s="3" t="s">
        <v>105</v>
      </c>
    </row>
    <row r="196" spans="1:9" x14ac:dyDescent="0.25">
      <c r="A196" s="3" t="s">
        <v>187</v>
      </c>
      <c r="B196" s="2">
        <v>0.61550000000000005</v>
      </c>
      <c r="C196" s="2">
        <v>3.4799999999999998E-2</v>
      </c>
      <c r="D196" s="2">
        <v>0.18770000000000001</v>
      </c>
      <c r="E196" s="2">
        <v>2.9899999999999999E-2</v>
      </c>
      <c r="F196" s="2">
        <v>0.17299999999999999</v>
      </c>
      <c r="G196" s="2">
        <v>2.5999999999999999E-2</v>
      </c>
      <c r="H196" s="2">
        <v>2.3900000000000001E-2</v>
      </c>
      <c r="I196" s="2">
        <v>8.8000000000000005E-3</v>
      </c>
    </row>
    <row r="197" spans="1:9" x14ac:dyDescent="0.25">
      <c r="A197" s="3" t="s">
        <v>188</v>
      </c>
      <c r="B197" s="2">
        <v>0.67510000000000003</v>
      </c>
      <c r="C197" s="2">
        <v>2.2200000000000001E-2</v>
      </c>
      <c r="D197" s="2">
        <v>0.15260000000000001</v>
      </c>
      <c r="E197" s="2">
        <v>1.8700000000000001E-2</v>
      </c>
      <c r="F197" s="2">
        <v>0.1588</v>
      </c>
      <c r="G197" s="2">
        <v>1.7000000000000001E-2</v>
      </c>
      <c r="H197" s="2">
        <v>1.35E-2</v>
      </c>
      <c r="I197" s="2">
        <v>5.3E-3</v>
      </c>
    </row>
    <row r="198" spans="1:9" x14ac:dyDescent="0.25">
      <c r="A198" s="38"/>
      <c r="B198" s="39"/>
      <c r="C198" s="39"/>
      <c r="D198" s="39"/>
      <c r="E198" s="39"/>
      <c r="F198" s="39"/>
      <c r="G198" s="39"/>
      <c r="H198" s="39"/>
      <c r="I198" s="40"/>
    </row>
    <row r="199" spans="1:9" x14ac:dyDescent="0.25">
      <c r="A199" s="2"/>
      <c r="B199" s="35" t="s">
        <v>116</v>
      </c>
      <c r="C199" s="36"/>
      <c r="D199" s="36"/>
      <c r="E199" s="36"/>
      <c r="F199" s="36"/>
      <c r="G199" s="36"/>
      <c r="H199" s="36"/>
      <c r="I199" s="37"/>
    </row>
    <row r="200" spans="1:9" x14ac:dyDescent="0.25">
      <c r="A200" s="3" t="s">
        <v>110</v>
      </c>
      <c r="B200" s="3" t="s">
        <v>88</v>
      </c>
      <c r="C200" s="3" t="s">
        <v>105</v>
      </c>
      <c r="D200" s="3" t="s">
        <v>90</v>
      </c>
      <c r="E200" s="3" t="s">
        <v>105</v>
      </c>
      <c r="F200" s="3" t="s">
        <v>91</v>
      </c>
      <c r="G200" s="3" t="s">
        <v>105</v>
      </c>
      <c r="H200" s="3" t="s">
        <v>92</v>
      </c>
      <c r="I200" s="3" t="s">
        <v>105</v>
      </c>
    </row>
    <row r="201" spans="1:9" x14ac:dyDescent="0.25">
      <c r="A201" s="3">
        <v>1</v>
      </c>
      <c r="B201" s="2">
        <v>0.9536</v>
      </c>
      <c r="C201" s="2" t="s">
        <v>11</v>
      </c>
      <c r="D201" s="2">
        <v>3.6299999999999999E-2</v>
      </c>
      <c r="E201" s="2" t="s">
        <v>11</v>
      </c>
      <c r="F201" s="2">
        <v>9.5999999999999992E-3</v>
      </c>
      <c r="G201" s="2" t="s">
        <v>11</v>
      </c>
      <c r="H201" s="2">
        <v>5.0000000000000001E-4</v>
      </c>
      <c r="I201" s="2" t="s">
        <v>11</v>
      </c>
    </row>
    <row r="202" spans="1:9" x14ac:dyDescent="0.25">
      <c r="A202" s="3">
        <v>2</v>
      </c>
      <c r="B202" s="2">
        <v>0.14560000000000001</v>
      </c>
      <c r="C202" s="2" t="s">
        <v>11</v>
      </c>
      <c r="D202" s="2">
        <v>0.80179999999999996</v>
      </c>
      <c r="E202" s="2" t="s">
        <v>11</v>
      </c>
      <c r="F202" s="2">
        <v>5.2400000000000002E-2</v>
      </c>
      <c r="G202" s="2" t="s">
        <v>11</v>
      </c>
      <c r="H202" s="2">
        <v>2.0000000000000001E-4</v>
      </c>
      <c r="I202" s="2" t="s">
        <v>11</v>
      </c>
    </row>
    <row r="203" spans="1:9" x14ac:dyDescent="0.25">
      <c r="A203" s="3">
        <v>3</v>
      </c>
      <c r="B203" s="2">
        <v>3.85E-2</v>
      </c>
      <c r="C203" s="2" t="s">
        <v>11</v>
      </c>
      <c r="D203" s="2">
        <v>5.2499999999999998E-2</v>
      </c>
      <c r="E203" s="2" t="s">
        <v>11</v>
      </c>
      <c r="F203" s="2">
        <v>0.90600000000000003</v>
      </c>
      <c r="G203" s="2" t="s">
        <v>11</v>
      </c>
      <c r="H203" s="2">
        <v>3.0000000000000001E-3</v>
      </c>
      <c r="I203" s="2" t="s">
        <v>11</v>
      </c>
    </row>
    <row r="204" spans="1:9" x14ac:dyDescent="0.25">
      <c r="A204" s="3">
        <v>4</v>
      </c>
      <c r="B204" s="2">
        <v>1.9400000000000001E-2</v>
      </c>
      <c r="C204" s="2" t="s">
        <v>11</v>
      </c>
      <c r="D204" s="2">
        <v>1.9E-3</v>
      </c>
      <c r="E204" s="2" t="s">
        <v>11</v>
      </c>
      <c r="F204" s="2">
        <v>2.9499999999999998E-2</v>
      </c>
      <c r="G204" s="2" t="s">
        <v>11</v>
      </c>
      <c r="H204" s="2">
        <v>0.94920000000000004</v>
      </c>
      <c r="I204" s="2" t="s">
        <v>11</v>
      </c>
    </row>
  </sheetData>
  <mergeCells count="5">
    <mergeCell ref="A3:F3"/>
    <mergeCell ref="B69:F69"/>
    <mergeCell ref="B194:I194"/>
    <mergeCell ref="A198:I198"/>
    <mergeCell ref="B199:I199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209"/>
  <sheetViews>
    <sheetView workbookViewId="0">
      <selection activeCell="H169" sqref="H169"/>
    </sheetView>
  </sheetViews>
  <sheetFormatPr defaultColWidth="36.28515625" defaultRowHeight="15" x14ac:dyDescent="0.25"/>
  <cols>
    <col min="1" max="1" width="30.42578125" bestFit="1" customWidth="1"/>
    <col min="2" max="2" width="12.140625" bestFit="1" customWidth="1"/>
    <col min="3" max="4" width="9.5703125" bestFit="1" customWidth="1"/>
    <col min="5" max="5" width="8.5703125" bestFit="1" customWidth="1"/>
    <col min="6" max="6" width="9.5703125" bestFit="1" customWidth="1"/>
    <col min="7" max="7" width="7.28515625" bestFit="1" customWidth="1"/>
    <col min="8" max="8" width="8.28515625" bestFit="1" customWidth="1"/>
    <col min="9" max="9" width="6.5703125" bestFit="1" customWidth="1"/>
    <col min="10" max="10" width="7.28515625" bestFit="1" customWidth="1"/>
    <col min="11" max="11" width="8.28515625" bestFit="1" customWidth="1"/>
    <col min="12" max="12" width="6.5703125" bestFit="1" customWidth="1"/>
    <col min="13" max="13" width="7.28515625" bestFit="1" customWidth="1"/>
    <col min="14" max="14" width="8.5703125" bestFit="1" customWidth="1"/>
    <col min="15" max="15" width="8.42578125" bestFit="1" customWidth="1"/>
  </cols>
  <sheetData>
    <row r="1" spans="1:6" ht="37.5" x14ac:dyDescent="0.25">
      <c r="A1" s="1" t="s">
        <v>181</v>
      </c>
    </row>
    <row r="3" spans="1:6" x14ac:dyDescent="0.25">
      <c r="A3" s="35" t="s">
        <v>0</v>
      </c>
      <c r="B3" s="36"/>
      <c r="C3" s="36"/>
      <c r="D3" s="36"/>
      <c r="E3" s="36"/>
      <c r="F3" s="37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3" t="s">
        <v>1</v>
      </c>
      <c r="B5" s="2">
        <v>13400</v>
      </c>
      <c r="C5" s="2"/>
      <c r="D5" s="2"/>
      <c r="E5" s="2"/>
      <c r="F5" s="2"/>
    </row>
    <row r="6" spans="1:6" x14ac:dyDescent="0.25">
      <c r="A6" s="3" t="s">
        <v>2</v>
      </c>
      <c r="B6" s="2">
        <v>9</v>
      </c>
      <c r="C6" s="2"/>
      <c r="D6" s="2"/>
      <c r="E6" s="2"/>
      <c r="F6" s="2"/>
    </row>
    <row r="7" spans="1:6" x14ac:dyDescent="0.25">
      <c r="A7" s="3" t="s">
        <v>3</v>
      </c>
      <c r="B7" s="2">
        <v>14.645300000000001</v>
      </c>
      <c r="C7" s="2"/>
      <c r="D7" s="2"/>
      <c r="E7" s="2"/>
      <c r="F7" s="2"/>
    </row>
    <row r="8" spans="1:6" x14ac:dyDescent="0.25">
      <c r="A8" s="3" t="s">
        <v>4</v>
      </c>
      <c r="B8" s="2">
        <v>14.645300000000001</v>
      </c>
      <c r="C8" s="2"/>
      <c r="D8" s="2"/>
      <c r="E8" s="2"/>
      <c r="F8" s="2"/>
    </row>
    <row r="9" spans="1:6" x14ac:dyDescent="0.25">
      <c r="A9" s="3" t="s">
        <v>5</v>
      </c>
      <c r="B9" s="2">
        <v>309776</v>
      </c>
      <c r="C9" s="2"/>
      <c r="D9" s="2"/>
      <c r="E9" s="2"/>
      <c r="F9" s="2"/>
    </row>
    <row r="10" spans="1:6" x14ac:dyDescent="0.25">
      <c r="A10" s="3" t="s">
        <v>6</v>
      </c>
      <c r="B10" s="2">
        <v>309776</v>
      </c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3" t="s">
        <v>7</v>
      </c>
      <c r="B12" s="2"/>
      <c r="C12" s="2"/>
      <c r="D12" s="2"/>
      <c r="E12" s="2"/>
      <c r="F12" s="2"/>
    </row>
    <row r="13" spans="1:6" x14ac:dyDescent="0.25">
      <c r="A13" s="3" t="s">
        <v>8</v>
      </c>
      <c r="B13" s="2">
        <v>0</v>
      </c>
      <c r="C13" s="3" t="s">
        <v>9</v>
      </c>
      <c r="D13" s="2"/>
      <c r="E13" s="2"/>
      <c r="F13" s="2"/>
    </row>
    <row r="14" spans="1:6" x14ac:dyDescent="0.25">
      <c r="A14" s="3" t="s">
        <v>10</v>
      </c>
      <c r="B14" s="2">
        <v>0</v>
      </c>
      <c r="C14" s="2" t="s">
        <v>11</v>
      </c>
      <c r="D14" s="2"/>
      <c r="E14" s="2"/>
      <c r="F14" s="2"/>
    </row>
    <row r="15" spans="1:6" x14ac:dyDescent="0.25">
      <c r="A15" s="3" t="s">
        <v>12</v>
      </c>
      <c r="B15" s="2">
        <v>0</v>
      </c>
      <c r="C15" s="2" t="s">
        <v>11</v>
      </c>
      <c r="D15" s="2"/>
      <c r="E15" s="2"/>
      <c r="F15" s="2"/>
    </row>
    <row r="16" spans="1:6" x14ac:dyDescent="0.25">
      <c r="A16" s="3" t="s">
        <v>13</v>
      </c>
      <c r="B16" s="2">
        <v>0</v>
      </c>
      <c r="C16" s="2" t="s">
        <v>11</v>
      </c>
      <c r="D16" s="2"/>
      <c r="E16" s="2"/>
      <c r="F16" s="2"/>
    </row>
    <row r="17" spans="1:6" x14ac:dyDescent="0.25">
      <c r="A17" s="3" t="s">
        <v>14</v>
      </c>
      <c r="B17" s="2">
        <v>0</v>
      </c>
      <c r="C17" s="2"/>
      <c r="D17" s="2"/>
      <c r="E17" s="2"/>
      <c r="F17" s="2"/>
    </row>
    <row r="18" spans="1:6" x14ac:dyDescent="0.25">
      <c r="A18" s="3" t="s">
        <v>15</v>
      </c>
      <c r="B18" s="2">
        <v>0</v>
      </c>
      <c r="C18" s="2"/>
      <c r="D18" s="2"/>
      <c r="E18" s="2"/>
      <c r="F18" s="2"/>
    </row>
    <row r="19" spans="1:6" x14ac:dyDescent="0.25">
      <c r="A19" s="3" t="s">
        <v>16</v>
      </c>
      <c r="B19" s="2">
        <v>0</v>
      </c>
      <c r="C19" s="2"/>
      <c r="D19" s="2"/>
      <c r="E19" s="2"/>
      <c r="F19" s="2"/>
    </row>
    <row r="20" spans="1:6" x14ac:dyDescent="0.25">
      <c r="A20" s="3" t="s">
        <v>17</v>
      </c>
      <c r="B20" s="2">
        <v>0</v>
      </c>
      <c r="C20" s="2"/>
      <c r="D20" s="2"/>
      <c r="E20" s="2"/>
      <c r="F20" s="2"/>
    </row>
    <row r="21" spans="1:6" x14ac:dyDescent="0.25">
      <c r="A21" s="3" t="s">
        <v>18</v>
      </c>
      <c r="B21" s="2">
        <v>0</v>
      </c>
      <c r="C21" s="2"/>
      <c r="D21" s="2"/>
      <c r="E21" s="2"/>
      <c r="F21" s="2"/>
    </row>
    <row r="22" spans="1:6" x14ac:dyDescent="0.25">
      <c r="A22" s="3" t="s">
        <v>19</v>
      </c>
      <c r="B22" s="2">
        <v>0</v>
      </c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3" t="s">
        <v>20</v>
      </c>
      <c r="B24" s="2"/>
      <c r="C24" s="2"/>
      <c r="D24" s="2"/>
      <c r="E24" s="2"/>
      <c r="F24" s="2"/>
    </row>
    <row r="25" spans="1:6" x14ac:dyDescent="0.25">
      <c r="A25" s="3" t="s">
        <v>21</v>
      </c>
      <c r="B25" s="2">
        <v>-12461.468000000001</v>
      </c>
      <c r="C25" s="2"/>
      <c r="D25" s="2"/>
      <c r="E25" s="2"/>
      <c r="F25" s="2"/>
    </row>
    <row r="26" spans="1:6" x14ac:dyDescent="0.25">
      <c r="A26" s="3" t="s">
        <v>22</v>
      </c>
      <c r="B26" s="2">
        <v>0</v>
      </c>
      <c r="C26" s="2"/>
      <c r="D26" s="2"/>
      <c r="E26" s="2"/>
      <c r="F26" s="2"/>
    </row>
    <row r="27" spans="1:6" x14ac:dyDescent="0.25">
      <c r="A27" s="3" t="s">
        <v>23</v>
      </c>
      <c r="B27" s="2">
        <v>-12461.468000000001</v>
      </c>
      <c r="C27" s="2"/>
      <c r="D27" s="2"/>
      <c r="E27" s="2"/>
      <c r="F27" s="2"/>
    </row>
    <row r="28" spans="1:6" x14ac:dyDescent="0.25">
      <c r="A28" s="3" t="s">
        <v>24</v>
      </c>
      <c r="B28" s="2">
        <v>25008.463100000001</v>
      </c>
      <c r="C28" s="2"/>
      <c r="D28" s="2"/>
      <c r="E28" s="2"/>
      <c r="F28" s="2"/>
    </row>
    <row r="29" spans="1:6" x14ac:dyDescent="0.25">
      <c r="A29" s="3" t="s">
        <v>25</v>
      </c>
      <c r="B29" s="2">
        <v>24940.936000000002</v>
      </c>
      <c r="C29" s="2"/>
      <c r="D29" s="2"/>
      <c r="E29" s="2"/>
      <c r="F29" s="2"/>
    </row>
    <row r="30" spans="1:6" x14ac:dyDescent="0.25">
      <c r="A30" s="3" t="s">
        <v>26</v>
      </c>
      <c r="B30" s="2">
        <v>24949.936000000002</v>
      </c>
      <c r="C30" s="2"/>
      <c r="D30" s="2"/>
      <c r="E30" s="2"/>
      <c r="F30" s="2"/>
    </row>
    <row r="31" spans="1:6" x14ac:dyDescent="0.25">
      <c r="A31" s="3" t="s">
        <v>27</v>
      </c>
      <c r="B31" s="2">
        <v>25017.463100000001</v>
      </c>
      <c r="C31" s="2"/>
      <c r="D31" s="2"/>
      <c r="E31" s="2"/>
      <c r="F31" s="2"/>
    </row>
    <row r="32" spans="1:6" x14ac:dyDescent="0.25">
      <c r="A32" s="3" t="s">
        <v>28</v>
      </c>
      <c r="B32" s="2">
        <v>24979.8619</v>
      </c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3" t="s">
        <v>29</v>
      </c>
      <c r="B35" s="2"/>
      <c r="C35" s="2"/>
      <c r="D35" s="2"/>
      <c r="E35" s="2"/>
      <c r="F35" s="2"/>
    </row>
    <row r="36" spans="1:6" x14ac:dyDescent="0.25">
      <c r="A36" s="3" t="s">
        <v>30</v>
      </c>
      <c r="B36" s="2">
        <v>0.34279999999999999</v>
      </c>
      <c r="C36" s="2"/>
      <c r="D36" s="2"/>
      <c r="E36" s="2"/>
      <c r="F36" s="2"/>
    </row>
    <row r="37" spans="1:6" x14ac:dyDescent="0.25">
      <c r="A37" s="3" t="s">
        <v>31</v>
      </c>
      <c r="B37" s="2">
        <v>0</v>
      </c>
      <c r="C37" s="2"/>
      <c r="D37" s="2"/>
      <c r="E37" s="2"/>
      <c r="F37" s="2"/>
    </row>
    <row r="38" spans="1:6" x14ac:dyDescent="0.25">
      <c r="A38" s="3" t="s">
        <v>32</v>
      </c>
      <c r="B38" s="2">
        <v>7.3000000000000001E-3</v>
      </c>
      <c r="C38" s="2"/>
      <c r="D38" s="2"/>
      <c r="E38" s="2"/>
      <c r="F38" s="2"/>
    </row>
    <row r="39" spans="1:6" x14ac:dyDescent="0.25">
      <c r="A39" s="3" t="s">
        <v>33</v>
      </c>
      <c r="B39" s="2">
        <v>7.7999999999999996E-3</v>
      </c>
      <c r="C39" s="2"/>
      <c r="D39" s="2"/>
      <c r="E39" s="2"/>
      <c r="F39" s="2"/>
    </row>
    <row r="40" spans="1:6" x14ac:dyDescent="0.25">
      <c r="A40" s="3" t="s">
        <v>34</v>
      </c>
      <c r="B40" s="2">
        <v>-24899.591899999999</v>
      </c>
      <c r="C40" s="2"/>
      <c r="D40" s="2"/>
      <c r="E40" s="2"/>
      <c r="F40" s="2"/>
    </row>
    <row r="41" spans="1:6" x14ac:dyDescent="0.25">
      <c r="A41" s="3" t="s">
        <v>35</v>
      </c>
      <c r="B41" s="2">
        <v>12438.123900000001</v>
      </c>
      <c r="C41" s="2"/>
      <c r="D41" s="2"/>
      <c r="E41" s="2"/>
      <c r="F41" s="2"/>
    </row>
    <row r="42" spans="1:6" x14ac:dyDescent="0.25">
      <c r="A42" s="3" t="s">
        <v>36</v>
      </c>
      <c r="B42" s="2">
        <v>49799.183799999999</v>
      </c>
      <c r="C42" s="2"/>
      <c r="D42" s="2"/>
      <c r="E42" s="2"/>
      <c r="F42" s="2"/>
    </row>
    <row r="43" spans="1:6" x14ac:dyDescent="0.25">
      <c r="A43" s="3" t="s">
        <v>37</v>
      </c>
      <c r="B43" s="2">
        <v>49997.237999999998</v>
      </c>
      <c r="C43" s="2"/>
      <c r="D43" s="2"/>
      <c r="E43" s="2"/>
      <c r="F43" s="2"/>
    </row>
    <row r="44" spans="1:6" x14ac:dyDescent="0.25">
      <c r="A44" s="3" t="s">
        <v>38</v>
      </c>
      <c r="B44" s="2">
        <v>49884.710899999998</v>
      </c>
      <c r="C44" s="2"/>
      <c r="D44" s="2"/>
      <c r="E44" s="2"/>
      <c r="F44" s="2"/>
    </row>
    <row r="45" spans="1:6" x14ac:dyDescent="0.25">
      <c r="A45" s="3"/>
      <c r="B45" s="2"/>
      <c r="C45" s="2"/>
      <c r="D45" s="2"/>
      <c r="E45" s="2"/>
      <c r="F45" s="2"/>
    </row>
    <row r="46" spans="1:6" x14ac:dyDescent="0.25">
      <c r="A46" s="3" t="s">
        <v>39</v>
      </c>
      <c r="B46" s="3" t="s">
        <v>40</v>
      </c>
      <c r="C46" s="2"/>
      <c r="D46" s="2"/>
      <c r="E46" s="2"/>
      <c r="F46" s="2"/>
    </row>
    <row r="47" spans="1:6" ht="28.5" x14ac:dyDescent="0.25">
      <c r="A47" s="3" t="s">
        <v>41</v>
      </c>
      <c r="B47" s="3" t="s">
        <v>42</v>
      </c>
      <c r="C47" s="3" t="s">
        <v>43</v>
      </c>
      <c r="D47" s="3" t="s">
        <v>44</v>
      </c>
      <c r="E47" s="3" t="s">
        <v>45</v>
      </c>
      <c r="F47" s="3" t="s">
        <v>46</v>
      </c>
    </row>
    <row r="48" spans="1:6" x14ac:dyDescent="0.25">
      <c r="A48" s="3" t="s">
        <v>42</v>
      </c>
      <c r="B48" s="2">
        <v>8806.5157999999992</v>
      </c>
      <c r="C48" s="2">
        <v>0</v>
      </c>
      <c r="D48" s="2">
        <v>0</v>
      </c>
      <c r="E48" s="2">
        <v>0</v>
      </c>
      <c r="F48" s="2">
        <v>8806.5157999999992</v>
      </c>
    </row>
    <row r="49" spans="1:6" x14ac:dyDescent="0.25">
      <c r="A49" s="3" t="s">
        <v>43</v>
      </c>
      <c r="B49" s="2">
        <v>2225.1707999999999</v>
      </c>
      <c r="C49" s="2">
        <v>0</v>
      </c>
      <c r="D49" s="2">
        <v>0</v>
      </c>
      <c r="E49" s="2">
        <v>0</v>
      </c>
      <c r="F49" s="2">
        <v>2225.1707999999999</v>
      </c>
    </row>
    <row r="50" spans="1:6" x14ac:dyDescent="0.25">
      <c r="A50" s="3" t="s">
        <v>44</v>
      </c>
      <c r="B50" s="2">
        <v>2147.8040999999998</v>
      </c>
      <c r="C50" s="2">
        <v>0</v>
      </c>
      <c r="D50" s="2">
        <v>0</v>
      </c>
      <c r="E50" s="2">
        <v>0</v>
      </c>
      <c r="F50" s="2">
        <v>2147.8040999999998</v>
      </c>
    </row>
    <row r="51" spans="1:6" x14ac:dyDescent="0.25">
      <c r="A51" s="3" t="s">
        <v>45</v>
      </c>
      <c r="B51" s="2">
        <v>220.5093</v>
      </c>
      <c r="C51" s="2">
        <v>0</v>
      </c>
      <c r="D51" s="2">
        <v>0</v>
      </c>
      <c r="E51" s="2">
        <v>0</v>
      </c>
      <c r="F51" s="2">
        <v>220.5093</v>
      </c>
    </row>
    <row r="52" spans="1:6" x14ac:dyDescent="0.25">
      <c r="A52" s="3" t="s">
        <v>46</v>
      </c>
      <c r="B52" s="2">
        <v>13400</v>
      </c>
      <c r="C52" s="2">
        <v>0</v>
      </c>
      <c r="D52" s="2">
        <v>0</v>
      </c>
      <c r="E52" s="2">
        <v>0</v>
      </c>
      <c r="F52" s="2">
        <v>13400</v>
      </c>
    </row>
    <row r="53" spans="1:6" x14ac:dyDescent="0.25">
      <c r="A53" s="3"/>
      <c r="B53" s="2"/>
      <c r="C53" s="2"/>
      <c r="D53" s="2"/>
      <c r="E53" s="2"/>
      <c r="F53" s="2"/>
    </row>
    <row r="54" spans="1:6" ht="28.5" x14ac:dyDescent="0.25">
      <c r="A54" s="3" t="s">
        <v>39</v>
      </c>
      <c r="B54" s="3" t="s">
        <v>47</v>
      </c>
      <c r="C54" s="2"/>
      <c r="D54" s="2"/>
      <c r="E54" s="2"/>
      <c r="F54" s="2"/>
    </row>
    <row r="55" spans="1:6" ht="28.5" x14ac:dyDescent="0.25">
      <c r="A55" s="3" t="s">
        <v>41</v>
      </c>
      <c r="B55" s="3" t="s">
        <v>42</v>
      </c>
      <c r="C55" s="3" t="s">
        <v>43</v>
      </c>
      <c r="D55" s="3" t="s">
        <v>44</v>
      </c>
      <c r="E55" s="3" t="s">
        <v>45</v>
      </c>
      <c r="F55" s="3" t="s">
        <v>46</v>
      </c>
    </row>
    <row r="56" spans="1:6" x14ac:dyDescent="0.25">
      <c r="A56" s="3" t="s">
        <v>42</v>
      </c>
      <c r="B56" s="2">
        <v>5824.1027000000004</v>
      </c>
      <c r="C56" s="2">
        <v>1445.1011000000001</v>
      </c>
      <c r="D56" s="2">
        <v>1395.6842999999999</v>
      </c>
      <c r="E56" s="2">
        <v>141.6276</v>
      </c>
      <c r="F56" s="2">
        <v>8806.5157999999992</v>
      </c>
    </row>
    <row r="57" spans="1:6" x14ac:dyDescent="0.25">
      <c r="A57" s="3" t="s">
        <v>43</v>
      </c>
      <c r="B57" s="2">
        <v>1445.1011000000001</v>
      </c>
      <c r="C57" s="2">
        <v>378.89210000000003</v>
      </c>
      <c r="D57" s="2">
        <v>363.07530000000003</v>
      </c>
      <c r="E57" s="2">
        <v>38.102400000000003</v>
      </c>
      <c r="F57" s="2">
        <v>2225.1707999999999</v>
      </c>
    </row>
    <row r="58" spans="1:6" x14ac:dyDescent="0.25">
      <c r="A58" s="3" t="s">
        <v>44</v>
      </c>
      <c r="B58" s="2">
        <v>1395.6842999999999</v>
      </c>
      <c r="C58" s="2">
        <v>363.07530000000003</v>
      </c>
      <c r="D58" s="2">
        <v>352.1961</v>
      </c>
      <c r="E58" s="2">
        <v>36.848300000000002</v>
      </c>
      <c r="F58" s="2">
        <v>2147.8040999999998</v>
      </c>
    </row>
    <row r="59" spans="1:6" x14ac:dyDescent="0.25">
      <c r="A59" s="3" t="s">
        <v>45</v>
      </c>
      <c r="B59" s="2">
        <v>141.6276</v>
      </c>
      <c r="C59" s="2">
        <v>38.102400000000003</v>
      </c>
      <c r="D59" s="2">
        <v>36.848300000000002</v>
      </c>
      <c r="E59" s="2">
        <v>3.931</v>
      </c>
      <c r="F59" s="2">
        <v>220.5093</v>
      </c>
    </row>
    <row r="60" spans="1:6" x14ac:dyDescent="0.25">
      <c r="A60" s="3" t="s">
        <v>46</v>
      </c>
      <c r="B60" s="2">
        <v>8806.5157999999992</v>
      </c>
      <c r="C60" s="2">
        <v>2225.1707999999999</v>
      </c>
      <c r="D60" s="2">
        <v>2147.8040999999998</v>
      </c>
      <c r="E60" s="2">
        <v>220.5093</v>
      </c>
      <c r="F60" s="2">
        <v>13400</v>
      </c>
    </row>
    <row r="61" spans="1:6" x14ac:dyDescent="0.25">
      <c r="A61" s="2"/>
      <c r="B61" s="2"/>
      <c r="C61" s="2"/>
      <c r="D61" s="2"/>
      <c r="E61" s="2"/>
      <c r="F61" s="2"/>
    </row>
    <row r="62" spans="1:6" ht="28.5" x14ac:dyDescent="0.25">
      <c r="A62" s="3" t="s">
        <v>48</v>
      </c>
      <c r="B62" s="2"/>
      <c r="C62" s="2"/>
      <c r="D62" s="2"/>
      <c r="E62" s="2"/>
      <c r="F62" s="2"/>
    </row>
    <row r="63" spans="1:6" x14ac:dyDescent="0.25">
      <c r="A63" s="3" t="s">
        <v>30</v>
      </c>
      <c r="B63" s="2">
        <v>0.34279999999999999</v>
      </c>
      <c r="C63" s="2"/>
      <c r="D63" s="2"/>
      <c r="E63" s="2"/>
      <c r="F63" s="2"/>
    </row>
    <row r="64" spans="1:6" x14ac:dyDescent="0.25">
      <c r="A64" s="3" t="s">
        <v>31</v>
      </c>
      <c r="B64" s="2">
        <v>0</v>
      </c>
      <c r="C64" s="2"/>
      <c r="D64" s="2"/>
      <c r="E64" s="2"/>
      <c r="F64" s="2"/>
    </row>
    <row r="65" spans="1:6" x14ac:dyDescent="0.25">
      <c r="A65" s="3" t="s">
        <v>32</v>
      </c>
      <c r="B65" s="2">
        <v>7.3000000000000001E-3</v>
      </c>
      <c r="C65" s="2"/>
      <c r="D65" s="2"/>
      <c r="E65" s="2"/>
      <c r="F65" s="2"/>
    </row>
    <row r="66" spans="1:6" x14ac:dyDescent="0.25">
      <c r="A66" s="3" t="s">
        <v>33</v>
      </c>
      <c r="B66" s="2">
        <v>7.7999999999999996E-3</v>
      </c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3" t="s">
        <v>49</v>
      </c>
      <c r="B68" s="2"/>
      <c r="C68" s="2"/>
      <c r="D68" s="2"/>
      <c r="E68" s="2"/>
      <c r="F68" s="2"/>
    </row>
    <row r="69" spans="1:6" x14ac:dyDescent="0.25">
      <c r="A69" s="3" t="s">
        <v>50</v>
      </c>
      <c r="B69" s="38" t="s">
        <v>164</v>
      </c>
      <c r="C69" s="39"/>
      <c r="D69" s="39"/>
      <c r="E69" s="39"/>
      <c r="F69" s="40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3" t="s">
        <v>52</v>
      </c>
      <c r="B71" s="2"/>
      <c r="C71" s="2"/>
      <c r="D71" s="2"/>
      <c r="E71" s="2"/>
      <c r="F71" s="2"/>
    </row>
    <row r="72" spans="1:6" x14ac:dyDescent="0.25">
      <c r="A72" s="3" t="s">
        <v>53</v>
      </c>
      <c r="B72" s="2">
        <v>4</v>
      </c>
      <c r="C72" s="2"/>
      <c r="D72" s="2"/>
      <c r="E72" s="2"/>
      <c r="F72" s="2"/>
    </row>
    <row r="73" spans="1:6" x14ac:dyDescent="0.25">
      <c r="A73" s="3" t="s">
        <v>54</v>
      </c>
      <c r="B73" s="2"/>
      <c r="C73" s="2"/>
      <c r="D73" s="2"/>
      <c r="E73" s="2"/>
      <c r="F73" s="2"/>
    </row>
    <row r="74" spans="1:6" x14ac:dyDescent="0.25">
      <c r="A74" s="3" t="s">
        <v>55</v>
      </c>
      <c r="B74" s="4">
        <v>1E-8</v>
      </c>
      <c r="C74" s="2"/>
      <c r="D74" s="2"/>
      <c r="E74" s="2"/>
      <c r="F74" s="2"/>
    </row>
    <row r="75" spans="1:6" x14ac:dyDescent="0.25">
      <c r="A75" s="3" t="s">
        <v>56</v>
      </c>
      <c r="B75" s="2">
        <v>0.01</v>
      </c>
      <c r="C75" s="2"/>
      <c r="D75" s="2"/>
      <c r="E75" s="2"/>
      <c r="F75" s="2"/>
    </row>
    <row r="76" spans="1:6" x14ac:dyDescent="0.25">
      <c r="A76" s="3" t="s">
        <v>57</v>
      </c>
      <c r="B76" s="2">
        <v>250</v>
      </c>
      <c r="C76" s="2"/>
      <c r="D76" s="2"/>
      <c r="E76" s="2"/>
      <c r="F76" s="2"/>
    </row>
    <row r="77" spans="1:6" x14ac:dyDescent="0.25">
      <c r="A77" s="3" t="s">
        <v>58</v>
      </c>
      <c r="B77" s="2">
        <v>50</v>
      </c>
      <c r="C77" s="2"/>
      <c r="D77" s="2"/>
      <c r="E77" s="2"/>
      <c r="F77" s="2"/>
    </row>
    <row r="78" spans="1:6" x14ac:dyDescent="0.25">
      <c r="A78" s="3" t="s">
        <v>59</v>
      </c>
      <c r="B78" s="2"/>
      <c r="C78" s="2"/>
      <c r="D78" s="2"/>
      <c r="E78" s="2"/>
      <c r="F78" s="2"/>
    </row>
    <row r="79" spans="1:6" x14ac:dyDescent="0.25">
      <c r="A79" s="3" t="s">
        <v>60</v>
      </c>
      <c r="B79" s="2">
        <v>309776</v>
      </c>
      <c r="C79" s="2"/>
      <c r="D79" s="2"/>
      <c r="E79" s="2"/>
      <c r="F79" s="2"/>
    </row>
    <row r="80" spans="1:6" x14ac:dyDescent="0.25">
      <c r="A80" s="3" t="s">
        <v>61</v>
      </c>
      <c r="B80" s="2">
        <v>0</v>
      </c>
      <c r="C80" s="2"/>
      <c r="D80" s="2"/>
      <c r="E80" s="2"/>
      <c r="F80" s="2"/>
    </row>
    <row r="81" spans="1:6" x14ac:dyDescent="0.25">
      <c r="A81" s="3" t="s">
        <v>55</v>
      </c>
      <c r="B81" s="4">
        <v>1.0000000000000001E-5</v>
      </c>
      <c r="C81" s="2"/>
      <c r="D81" s="2"/>
      <c r="E81" s="2"/>
      <c r="F81" s="2"/>
    </row>
    <row r="82" spans="1:6" x14ac:dyDescent="0.25">
      <c r="A82" s="3" t="s">
        <v>62</v>
      </c>
      <c r="B82" s="2">
        <v>150</v>
      </c>
      <c r="C82" s="2"/>
      <c r="D82" s="2"/>
      <c r="E82" s="2"/>
      <c r="F82" s="2"/>
    </row>
    <row r="83" spans="1:6" x14ac:dyDescent="0.25">
      <c r="A83" s="3" t="s">
        <v>63</v>
      </c>
      <c r="B83" s="2"/>
      <c r="C83" s="2"/>
      <c r="D83" s="2"/>
      <c r="E83" s="2"/>
      <c r="F83" s="2"/>
    </row>
    <row r="84" spans="1:6" x14ac:dyDescent="0.25">
      <c r="A84" s="3" t="s">
        <v>64</v>
      </c>
      <c r="B84" s="2">
        <v>1</v>
      </c>
      <c r="C84" s="2"/>
      <c r="D84" s="2"/>
      <c r="E84" s="2"/>
      <c r="F84" s="2"/>
    </row>
    <row r="85" spans="1:6" x14ac:dyDescent="0.25">
      <c r="A85" s="3" t="s">
        <v>65</v>
      </c>
      <c r="B85" s="2">
        <v>1</v>
      </c>
      <c r="C85" s="2"/>
      <c r="D85" s="2"/>
      <c r="E85" s="2"/>
      <c r="F85" s="2"/>
    </row>
    <row r="86" spans="1:6" x14ac:dyDescent="0.25">
      <c r="A86" s="3" t="s">
        <v>66</v>
      </c>
      <c r="B86" s="2">
        <v>0</v>
      </c>
      <c r="C86" s="2"/>
      <c r="D86" s="2"/>
      <c r="E86" s="2"/>
      <c r="F86" s="2"/>
    </row>
    <row r="87" spans="1:6" x14ac:dyDescent="0.25">
      <c r="A87" s="3" t="s">
        <v>67</v>
      </c>
      <c r="B87" s="2">
        <v>1</v>
      </c>
      <c r="C87" s="2"/>
      <c r="D87" s="2"/>
      <c r="E87" s="2"/>
      <c r="F87" s="2"/>
    </row>
    <row r="88" spans="1:6" x14ac:dyDescent="0.25">
      <c r="A88" s="3" t="s">
        <v>68</v>
      </c>
      <c r="B88" s="2"/>
      <c r="C88" s="2"/>
      <c r="D88" s="2"/>
      <c r="E88" s="2"/>
      <c r="F88" s="2"/>
    </row>
    <row r="89" spans="1:6" x14ac:dyDescent="0.25">
      <c r="A89" s="3" t="s">
        <v>69</v>
      </c>
      <c r="B89" s="2">
        <v>10</v>
      </c>
      <c r="C89" s="2"/>
      <c r="D89" s="2"/>
      <c r="E89" s="2"/>
      <c r="F89" s="2"/>
    </row>
    <row r="90" spans="1:6" x14ac:dyDescent="0.25">
      <c r="A90" s="3" t="s">
        <v>70</v>
      </c>
      <c r="B90" s="2" t="s">
        <v>71</v>
      </c>
      <c r="C90" s="2"/>
      <c r="D90" s="2"/>
      <c r="E90" s="2"/>
      <c r="F90" s="2"/>
    </row>
    <row r="91" spans="1:6" x14ac:dyDescent="0.25">
      <c r="A91" s="3" t="s">
        <v>72</v>
      </c>
      <c r="B91" s="2"/>
      <c r="C91" s="2"/>
      <c r="D91" s="2"/>
      <c r="E91" s="2"/>
      <c r="F91" s="2"/>
    </row>
    <row r="92" spans="1:6" x14ac:dyDescent="0.25">
      <c r="A92" s="3" t="s">
        <v>73</v>
      </c>
      <c r="B92" s="2" t="s">
        <v>74</v>
      </c>
      <c r="C92" s="2"/>
      <c r="D92" s="2"/>
      <c r="E92" s="2"/>
      <c r="F92" s="2"/>
    </row>
    <row r="93" spans="1:6" x14ac:dyDescent="0.25">
      <c r="A93" s="3" t="s">
        <v>75</v>
      </c>
      <c r="B93" s="2" t="s">
        <v>76</v>
      </c>
      <c r="C93" s="2"/>
      <c r="D93" s="2"/>
      <c r="E93" s="2"/>
      <c r="F93" s="2"/>
    </row>
    <row r="94" spans="1:6" x14ac:dyDescent="0.25">
      <c r="A94" s="3" t="s">
        <v>77</v>
      </c>
      <c r="B94" s="2" t="s">
        <v>78</v>
      </c>
      <c r="C94" s="2"/>
      <c r="D94" s="2"/>
      <c r="E94" s="2"/>
      <c r="F94" s="2"/>
    </row>
    <row r="95" spans="1:6" x14ac:dyDescent="0.25">
      <c r="A95" s="3" t="s">
        <v>79</v>
      </c>
      <c r="B95" s="2"/>
      <c r="C95" s="2"/>
      <c r="D95" s="2"/>
      <c r="E95" s="2"/>
      <c r="F95" s="2"/>
    </row>
    <row r="96" spans="1:6" x14ac:dyDescent="0.25">
      <c r="A96" s="3" t="s">
        <v>80</v>
      </c>
      <c r="B96" s="2" t="s">
        <v>81</v>
      </c>
      <c r="C96" s="2"/>
      <c r="D96" s="2"/>
      <c r="E96" s="2"/>
      <c r="F96" s="2"/>
    </row>
    <row r="97" spans="1:6" x14ac:dyDescent="0.25">
      <c r="A97" s="3" t="s">
        <v>82</v>
      </c>
      <c r="B97" s="2" t="s">
        <v>83</v>
      </c>
      <c r="C97" s="2"/>
      <c r="D97" s="2"/>
      <c r="E97" s="2"/>
      <c r="F97" s="2"/>
    </row>
    <row r="98" spans="1:6" x14ac:dyDescent="0.25">
      <c r="A98" s="3" t="s">
        <v>84</v>
      </c>
      <c r="B98" s="2">
        <v>13400</v>
      </c>
      <c r="C98" s="2"/>
      <c r="D98" s="2"/>
      <c r="E98" s="2"/>
      <c r="F98" s="2"/>
    </row>
    <row r="99" spans="1:6" x14ac:dyDescent="0.25">
      <c r="A99" s="3" t="s">
        <v>85</v>
      </c>
      <c r="B99" s="2" t="s">
        <v>78</v>
      </c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3" t="s">
        <v>86</v>
      </c>
      <c r="B101" s="2"/>
      <c r="C101" s="2"/>
      <c r="D101" s="2"/>
      <c r="E101" s="2"/>
      <c r="F101" s="2"/>
    </row>
    <row r="102" spans="1:6" x14ac:dyDescent="0.25">
      <c r="A102" s="3" t="s">
        <v>87</v>
      </c>
      <c r="B102" s="2"/>
      <c r="C102" s="2"/>
      <c r="D102" s="2"/>
      <c r="E102" s="2"/>
      <c r="F102" s="2"/>
    </row>
    <row r="103" spans="1:6" x14ac:dyDescent="0.25">
      <c r="A103" s="3" t="s">
        <v>88</v>
      </c>
      <c r="B103" s="2"/>
      <c r="C103" s="2">
        <v>711</v>
      </c>
      <c r="D103" s="2"/>
      <c r="E103" s="2"/>
      <c r="F103" s="2"/>
    </row>
    <row r="104" spans="1:6" x14ac:dyDescent="0.25">
      <c r="A104" s="5">
        <v>1.11E-8</v>
      </c>
      <c r="B104" s="4">
        <v>1.1102695999999999E-8</v>
      </c>
      <c r="C104" s="2"/>
      <c r="D104" s="2"/>
      <c r="E104" s="2"/>
      <c r="F104" s="2"/>
    </row>
    <row r="105" spans="1:6" x14ac:dyDescent="0.25">
      <c r="A105" s="5">
        <v>2.1600000000000002E-8</v>
      </c>
      <c r="B105" s="4">
        <v>2.1598107E-8</v>
      </c>
      <c r="C105" s="2"/>
      <c r="D105" s="2"/>
      <c r="E105" s="2"/>
      <c r="F105" s="2"/>
    </row>
    <row r="106" spans="1:6" x14ac:dyDescent="0.25">
      <c r="A106" s="5">
        <v>3.0209999999999997E-8</v>
      </c>
      <c r="B106" s="4">
        <v>3.0206511E-8</v>
      </c>
      <c r="C106" s="2"/>
      <c r="D106" s="2"/>
      <c r="E106" s="2"/>
      <c r="F106" s="2"/>
    </row>
    <row r="107" spans="1:6" x14ac:dyDescent="0.25">
      <c r="A107" s="5">
        <v>3.8780000000000001E-8</v>
      </c>
      <c r="B107" s="4">
        <v>3.8780520999999998E-8</v>
      </c>
      <c r="C107" s="2"/>
      <c r="D107" s="2"/>
      <c r="E107" s="2"/>
      <c r="F107" s="2"/>
    </row>
    <row r="108" spans="1:6" x14ac:dyDescent="0.25">
      <c r="A108" s="3" t="s">
        <v>89</v>
      </c>
      <c r="B108" s="2"/>
      <c r="C108" s="2"/>
      <c r="D108" s="2"/>
      <c r="E108" s="2"/>
      <c r="F108" s="2"/>
    </row>
    <row r="109" spans="1:6" x14ac:dyDescent="0.25">
      <c r="A109" s="3">
        <v>0.99990000000000001</v>
      </c>
      <c r="B109" s="2">
        <v>0.99988832999999999</v>
      </c>
      <c r="C109" s="2"/>
      <c r="D109" s="2"/>
      <c r="E109" s="2"/>
      <c r="F109" s="2"/>
    </row>
    <row r="110" spans="1:6" x14ac:dyDescent="0.25">
      <c r="A110" s="3">
        <v>0.99990000000000001</v>
      </c>
      <c r="B110" s="2">
        <v>0.99990659999999998</v>
      </c>
      <c r="C110" s="2"/>
      <c r="D110" s="2"/>
      <c r="E110" s="2"/>
      <c r="F110" s="2"/>
    </row>
    <row r="111" spans="1:6" x14ac:dyDescent="0.25">
      <c r="A111" s="3">
        <v>0.99990000000000001</v>
      </c>
      <c r="B111" s="2">
        <v>0.99993222999999998</v>
      </c>
      <c r="C111" s="2"/>
      <c r="D111" s="2"/>
      <c r="E111" s="2"/>
      <c r="F111" s="2"/>
    </row>
    <row r="112" spans="1:6" x14ac:dyDescent="0.25">
      <c r="A112" s="3" t="s">
        <v>90</v>
      </c>
      <c r="B112" s="2"/>
      <c r="C112" s="2">
        <v>711</v>
      </c>
      <c r="D112" s="2"/>
      <c r="E112" s="2"/>
      <c r="F112" s="2"/>
    </row>
    <row r="113" spans="1:6" x14ac:dyDescent="0.25">
      <c r="A113" s="5">
        <v>1.0139999999999999E-15</v>
      </c>
      <c r="B113" s="4">
        <v>1.0135678E-15</v>
      </c>
      <c r="C113" s="2"/>
      <c r="D113" s="2"/>
      <c r="E113" s="2"/>
      <c r="F113" s="2"/>
    </row>
    <row r="114" spans="1:6" x14ac:dyDescent="0.25">
      <c r="A114" s="5">
        <v>3.9519999999999998E-14</v>
      </c>
      <c r="B114" s="4">
        <v>3.9518101E-14</v>
      </c>
      <c r="C114" s="2"/>
      <c r="D114" s="2"/>
      <c r="E114" s="2"/>
      <c r="F114" s="2"/>
    </row>
    <row r="115" spans="1:6" x14ac:dyDescent="0.25">
      <c r="A115" s="5">
        <v>7.8660000000000006E-12</v>
      </c>
      <c r="B115" s="4">
        <v>7.8660149999999996E-12</v>
      </c>
      <c r="C115" s="2"/>
      <c r="D115" s="2"/>
      <c r="E115" s="2"/>
      <c r="F115" s="2"/>
    </row>
    <row r="116" spans="1:6" x14ac:dyDescent="0.25">
      <c r="A116" s="5">
        <v>1.8309999999999999E-11</v>
      </c>
      <c r="B116" s="4">
        <v>1.8309181000000002E-11</v>
      </c>
      <c r="C116" s="2"/>
      <c r="D116" s="2"/>
      <c r="E116" s="2"/>
      <c r="F116" s="2"/>
    </row>
    <row r="117" spans="1:6" x14ac:dyDescent="0.25">
      <c r="A117" s="3" t="s">
        <v>89</v>
      </c>
      <c r="B117" s="2"/>
      <c r="C117" s="2"/>
      <c r="D117" s="2"/>
      <c r="E117" s="2"/>
      <c r="F117" s="2"/>
    </row>
    <row r="118" spans="1:6" x14ac:dyDescent="0.25">
      <c r="A118" s="3">
        <v>1</v>
      </c>
      <c r="B118" s="2">
        <v>0.99999989</v>
      </c>
      <c r="C118" s="2"/>
      <c r="D118" s="2"/>
      <c r="E118" s="2"/>
      <c r="F118" s="2"/>
    </row>
    <row r="119" spans="1:6" x14ac:dyDescent="0.25">
      <c r="A119" s="3">
        <v>1</v>
      </c>
      <c r="B119" s="2">
        <v>0.99999990999999999</v>
      </c>
      <c r="C119" s="2"/>
      <c r="D119" s="2"/>
      <c r="E119" s="2"/>
      <c r="F119" s="2"/>
    </row>
    <row r="120" spans="1:6" x14ac:dyDescent="0.25">
      <c r="A120" s="3">
        <v>1</v>
      </c>
      <c r="B120" s="2">
        <v>0.99999994999999997</v>
      </c>
      <c r="C120" s="2"/>
      <c r="D120" s="2"/>
      <c r="E120" s="2"/>
      <c r="F120" s="2"/>
    </row>
    <row r="121" spans="1:6" x14ac:dyDescent="0.25">
      <c r="A121" s="3" t="s">
        <v>91</v>
      </c>
      <c r="B121" s="2"/>
      <c r="C121" s="2">
        <v>711</v>
      </c>
      <c r="D121" s="2"/>
      <c r="E121" s="2"/>
      <c r="F121" s="2"/>
    </row>
    <row r="122" spans="1:6" x14ac:dyDescent="0.25">
      <c r="A122" s="5">
        <v>7.8999999999999997E-13</v>
      </c>
      <c r="B122" s="4">
        <v>7.9002705000000003E-13</v>
      </c>
      <c r="C122" s="2"/>
      <c r="D122" s="2"/>
      <c r="E122" s="2"/>
      <c r="F122" s="2"/>
    </row>
    <row r="123" spans="1:6" x14ac:dyDescent="0.25">
      <c r="A123" s="5">
        <v>4.1029999999999998E-12</v>
      </c>
      <c r="B123" s="4">
        <v>4.1030068999999997E-12</v>
      </c>
      <c r="C123" s="2"/>
      <c r="D123" s="2"/>
      <c r="E123" s="2"/>
      <c r="F123" s="2"/>
    </row>
    <row r="124" spans="1:6" x14ac:dyDescent="0.25">
      <c r="A124" s="5">
        <v>9.6690000000000001E-12</v>
      </c>
      <c r="B124" s="4">
        <v>9.6686613000000001E-12</v>
      </c>
      <c r="C124" s="2"/>
      <c r="D124" s="2"/>
      <c r="E124" s="2"/>
      <c r="F124" s="2"/>
    </row>
    <row r="125" spans="1:6" x14ac:dyDescent="0.25">
      <c r="A125" s="5">
        <v>1.7540000000000001E-10</v>
      </c>
      <c r="B125" s="4">
        <v>1.7536650000000001E-10</v>
      </c>
      <c r="C125" s="2"/>
      <c r="D125" s="2"/>
      <c r="E125" s="2"/>
      <c r="F125" s="2"/>
    </row>
    <row r="126" spans="1:6" x14ac:dyDescent="0.25">
      <c r="A126" s="3" t="s">
        <v>89</v>
      </c>
      <c r="B126" s="2"/>
      <c r="C126" s="2"/>
      <c r="D126" s="2"/>
      <c r="E126" s="2"/>
      <c r="F126" s="2"/>
    </row>
    <row r="127" spans="1:6" x14ac:dyDescent="0.25">
      <c r="A127" s="3">
        <v>1</v>
      </c>
      <c r="B127" s="2">
        <v>0.99996379000000002</v>
      </c>
      <c r="C127" s="2"/>
      <c r="D127" s="2"/>
      <c r="E127" s="2"/>
      <c r="F127" s="2"/>
    </row>
    <row r="128" spans="1:6" x14ac:dyDescent="0.25">
      <c r="A128" s="3">
        <v>1</v>
      </c>
      <c r="B128" s="2">
        <v>0.99996640000000003</v>
      </c>
      <c r="C128" s="2"/>
      <c r="D128" s="2"/>
      <c r="E128" s="2"/>
      <c r="F128" s="2"/>
    </row>
    <row r="129" spans="1:6" x14ac:dyDescent="0.25">
      <c r="A129" s="3">
        <v>1</v>
      </c>
      <c r="B129" s="2">
        <v>0.99998988</v>
      </c>
      <c r="C129" s="2"/>
      <c r="D129" s="2"/>
      <c r="E129" s="2"/>
      <c r="F129" s="2"/>
    </row>
    <row r="130" spans="1:6" x14ac:dyDescent="0.25">
      <c r="A130" s="3" t="s">
        <v>92</v>
      </c>
      <c r="B130" s="2"/>
      <c r="C130" s="2">
        <v>711</v>
      </c>
      <c r="D130" s="2"/>
      <c r="E130" s="2"/>
      <c r="F130" s="2"/>
    </row>
    <row r="131" spans="1:6" x14ac:dyDescent="0.25">
      <c r="A131" s="5">
        <v>1.087E-19</v>
      </c>
      <c r="B131" s="4">
        <v>1.0873373E-19</v>
      </c>
      <c r="C131" s="2"/>
      <c r="D131" s="2"/>
      <c r="E131" s="2"/>
      <c r="F131" s="2"/>
    </row>
    <row r="132" spans="1:6" x14ac:dyDescent="0.25">
      <c r="A132" s="5">
        <v>3.2159999999999999E-19</v>
      </c>
      <c r="B132" s="4">
        <v>3.2163912000000001E-19</v>
      </c>
      <c r="C132" s="2"/>
      <c r="D132" s="2"/>
      <c r="E132" s="2"/>
      <c r="F132" s="2"/>
    </row>
    <row r="133" spans="1:6" x14ac:dyDescent="0.25">
      <c r="A133" s="5">
        <v>4.4209999999999998E-18</v>
      </c>
      <c r="B133" s="4">
        <v>4.4208654000000004E-18</v>
      </c>
      <c r="C133" s="2"/>
      <c r="D133" s="2"/>
      <c r="E133" s="2"/>
      <c r="F133" s="2"/>
    </row>
    <row r="134" spans="1:6" x14ac:dyDescent="0.25">
      <c r="A134" s="5">
        <v>4.9049999999999997E-18</v>
      </c>
      <c r="B134" s="4">
        <v>4.9054168000000002E-18</v>
      </c>
      <c r="C134" s="2"/>
      <c r="D134" s="2"/>
      <c r="E134" s="2"/>
      <c r="F134" s="2"/>
    </row>
    <row r="135" spans="1:6" x14ac:dyDescent="0.25">
      <c r="A135" s="3" t="s">
        <v>89</v>
      </c>
      <c r="B135" s="2"/>
      <c r="C135" s="2"/>
      <c r="D135" s="2"/>
      <c r="E135" s="2"/>
      <c r="F135" s="2"/>
    </row>
    <row r="136" spans="1:6" x14ac:dyDescent="0.25">
      <c r="A136" s="3">
        <v>1</v>
      </c>
      <c r="B136" s="2">
        <v>0.99999943999999996</v>
      </c>
      <c r="C136" s="2"/>
      <c r="D136" s="2"/>
      <c r="E136" s="2"/>
      <c r="F136" s="2"/>
    </row>
    <row r="137" spans="1:6" x14ac:dyDescent="0.25">
      <c r="A137" s="3">
        <v>1</v>
      </c>
      <c r="B137" s="2">
        <v>0.99999958</v>
      </c>
      <c r="C137" s="2"/>
      <c r="D137" s="2"/>
      <c r="E137" s="2"/>
      <c r="F137" s="2"/>
    </row>
    <row r="138" spans="1:6" x14ac:dyDescent="0.25">
      <c r="A138" s="3">
        <v>1</v>
      </c>
      <c r="B138" s="2">
        <v>0.99999969</v>
      </c>
      <c r="C138" s="2"/>
      <c r="D138" s="2"/>
      <c r="E138" s="2"/>
      <c r="F138" s="2"/>
    </row>
    <row r="139" spans="1:6" x14ac:dyDescent="0.25">
      <c r="A139" s="3" t="s">
        <v>93</v>
      </c>
      <c r="B139" s="2"/>
      <c r="C139" s="2"/>
      <c r="D139" s="2"/>
      <c r="E139" s="2"/>
      <c r="F139" s="2"/>
    </row>
    <row r="140" spans="1:6" x14ac:dyDescent="0.25">
      <c r="A140" s="3" t="s">
        <v>182</v>
      </c>
      <c r="B140" s="2" t="s">
        <v>95</v>
      </c>
      <c r="C140" s="2">
        <v>3</v>
      </c>
      <c r="D140" s="2"/>
      <c r="E140" s="2"/>
      <c r="F140" s="2"/>
    </row>
    <row r="141" spans="1:6" x14ac:dyDescent="0.25">
      <c r="A141" s="3" t="s">
        <v>174</v>
      </c>
      <c r="B141" s="2">
        <v>1</v>
      </c>
      <c r="C141" s="2"/>
      <c r="D141" s="2"/>
      <c r="E141" s="2"/>
      <c r="F141" s="2"/>
    </row>
    <row r="142" spans="1:6" x14ac:dyDescent="0.25">
      <c r="A142" s="3" t="s">
        <v>183</v>
      </c>
      <c r="B142" s="2">
        <v>2</v>
      </c>
      <c r="C142" s="2"/>
      <c r="D142" s="2"/>
      <c r="E142" s="2"/>
      <c r="F142" s="2"/>
    </row>
    <row r="143" spans="1:6" x14ac:dyDescent="0.25">
      <c r="A143" s="3" t="s">
        <v>184</v>
      </c>
      <c r="B143" s="2">
        <v>3</v>
      </c>
      <c r="C143" s="2"/>
      <c r="D143" s="2"/>
      <c r="E143" s="2"/>
      <c r="F143" s="2"/>
    </row>
    <row r="145" spans="1:16" ht="18.75" x14ac:dyDescent="0.25">
      <c r="A145" s="1" t="s">
        <v>102</v>
      </c>
    </row>
    <row r="147" spans="1:16" x14ac:dyDescent="0.25">
      <c r="A147" s="3" t="s">
        <v>103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28.5" x14ac:dyDescent="0.25">
      <c r="A148" s="3" t="s">
        <v>104</v>
      </c>
      <c r="B148" s="3" t="s">
        <v>42</v>
      </c>
      <c r="C148" s="3" t="s">
        <v>105</v>
      </c>
      <c r="D148" s="3" t="s">
        <v>123</v>
      </c>
      <c r="E148" s="3" t="s">
        <v>43</v>
      </c>
      <c r="F148" s="3" t="s">
        <v>105</v>
      </c>
      <c r="G148" s="3" t="s">
        <v>123</v>
      </c>
      <c r="H148" s="3" t="s">
        <v>44</v>
      </c>
      <c r="I148" s="3" t="s">
        <v>105</v>
      </c>
      <c r="J148" s="3" t="s">
        <v>123</v>
      </c>
      <c r="K148" s="3" t="s">
        <v>45</v>
      </c>
      <c r="L148" s="3" t="s">
        <v>105</v>
      </c>
      <c r="M148" s="3" t="s">
        <v>123</v>
      </c>
      <c r="N148" s="3" t="s">
        <v>106</v>
      </c>
      <c r="O148" s="3" t="s">
        <v>9</v>
      </c>
      <c r="P148" s="2"/>
    </row>
    <row r="149" spans="1:16" x14ac:dyDescent="0.25">
      <c r="A149" s="3"/>
      <c r="B149" s="2">
        <v>1.6968000000000001</v>
      </c>
      <c r="C149" s="2">
        <v>0.10199999999999999</v>
      </c>
      <c r="D149" s="2">
        <v>16.633600000000001</v>
      </c>
      <c r="E149" s="2">
        <v>0.21959999999999999</v>
      </c>
      <c r="F149" s="2">
        <v>0.1295</v>
      </c>
      <c r="G149" s="2">
        <v>1.6957</v>
      </c>
      <c r="H149" s="2">
        <v>0.22320000000000001</v>
      </c>
      <c r="I149" s="2">
        <v>0.1208</v>
      </c>
      <c r="J149" s="2">
        <v>1.8468</v>
      </c>
      <c r="K149" s="2">
        <v>-2.1395</v>
      </c>
      <c r="L149" s="2">
        <v>0.26919999999999999</v>
      </c>
      <c r="M149" s="2">
        <v>-7.9481000000000002</v>
      </c>
      <c r="N149" s="2">
        <v>372.22129999999999</v>
      </c>
      <c r="O149" s="4">
        <v>2.2999999999999998E-80</v>
      </c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28.5" x14ac:dyDescent="0.25">
      <c r="A151" s="3" t="s">
        <v>107</v>
      </c>
      <c r="B151" s="3" t="s">
        <v>42</v>
      </c>
      <c r="C151" s="3" t="s">
        <v>105</v>
      </c>
      <c r="D151" s="3" t="s">
        <v>123</v>
      </c>
      <c r="E151" s="3" t="s">
        <v>43</v>
      </c>
      <c r="F151" s="3" t="s">
        <v>105</v>
      </c>
      <c r="G151" s="3" t="s">
        <v>123</v>
      </c>
      <c r="H151" s="3" t="s">
        <v>44</v>
      </c>
      <c r="I151" s="3" t="s">
        <v>105</v>
      </c>
      <c r="J151" s="3" t="s">
        <v>123</v>
      </c>
      <c r="K151" s="3" t="s">
        <v>45</v>
      </c>
      <c r="L151" s="3" t="s">
        <v>105</v>
      </c>
      <c r="M151" s="3" t="s">
        <v>123</v>
      </c>
      <c r="N151" s="3" t="s">
        <v>106</v>
      </c>
      <c r="O151" s="3" t="s">
        <v>9</v>
      </c>
      <c r="P151" s="2"/>
    </row>
    <row r="152" spans="1:16" x14ac:dyDescent="0.25">
      <c r="A152" s="3" t="s">
        <v>182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3" t="s">
        <v>174</v>
      </c>
      <c r="B153" s="2">
        <v>6.2799999999999995E-2</v>
      </c>
      <c r="C153" s="2">
        <v>0.1411</v>
      </c>
      <c r="D153" s="2">
        <v>0.44490000000000002</v>
      </c>
      <c r="E153" s="2">
        <v>9.5299999999999996E-2</v>
      </c>
      <c r="F153" s="2">
        <v>0.17349999999999999</v>
      </c>
      <c r="G153" s="2">
        <v>0.54910000000000003</v>
      </c>
      <c r="H153" s="2">
        <v>-8.2299999999999998E-2</v>
      </c>
      <c r="I153" s="2">
        <v>0.16309999999999999</v>
      </c>
      <c r="J153" s="2">
        <v>-0.50460000000000005</v>
      </c>
      <c r="K153" s="2">
        <v>-7.5800000000000006E-2</v>
      </c>
      <c r="L153" s="2">
        <v>0.37619999999999998</v>
      </c>
      <c r="M153" s="2">
        <v>-0.20150000000000001</v>
      </c>
      <c r="N153" s="2">
        <v>8.9131</v>
      </c>
      <c r="O153" s="2">
        <v>0.18</v>
      </c>
      <c r="P153" s="2"/>
    </row>
    <row r="154" spans="1:16" x14ac:dyDescent="0.25">
      <c r="A154" s="3" t="s">
        <v>183</v>
      </c>
      <c r="B154" s="2">
        <v>0.22209999999999999</v>
      </c>
      <c r="C154" s="2">
        <v>0.1676</v>
      </c>
      <c r="D154" s="2">
        <v>1.3251999999999999</v>
      </c>
      <c r="E154" s="2">
        <v>-0.1321</v>
      </c>
      <c r="F154" s="2">
        <v>0.21340000000000001</v>
      </c>
      <c r="G154" s="2">
        <v>-0.61929999999999996</v>
      </c>
      <c r="H154" s="2">
        <v>6.13E-2</v>
      </c>
      <c r="I154" s="2">
        <v>0.19789999999999999</v>
      </c>
      <c r="J154" s="2">
        <v>0.30990000000000001</v>
      </c>
      <c r="K154" s="2">
        <v>-0.15129999999999999</v>
      </c>
      <c r="L154" s="2">
        <v>0.44650000000000001</v>
      </c>
      <c r="M154" s="2">
        <v>-0.33889999999999998</v>
      </c>
      <c r="N154" s="2"/>
      <c r="O154" s="2"/>
      <c r="P154" s="2"/>
    </row>
    <row r="155" spans="1:16" x14ac:dyDescent="0.25">
      <c r="A155" s="3" t="s">
        <v>184</v>
      </c>
      <c r="B155" s="2">
        <v>-0.28489999999999999</v>
      </c>
      <c r="C155" s="2">
        <v>0.122</v>
      </c>
      <c r="D155" s="2">
        <v>-2.3349000000000002</v>
      </c>
      <c r="E155" s="2">
        <v>3.6900000000000002E-2</v>
      </c>
      <c r="F155" s="2">
        <v>0.1535</v>
      </c>
      <c r="G155" s="2">
        <v>0.24010000000000001</v>
      </c>
      <c r="H155" s="2">
        <v>2.1000000000000001E-2</v>
      </c>
      <c r="I155" s="2">
        <v>0.14449999999999999</v>
      </c>
      <c r="J155" s="2">
        <v>0.1452</v>
      </c>
      <c r="K155" s="2">
        <v>0.2271</v>
      </c>
      <c r="L155" s="2">
        <v>0.30070000000000002</v>
      </c>
      <c r="M155" s="2">
        <v>0.75519999999999998</v>
      </c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8" spans="1:16" ht="18.75" x14ac:dyDescent="0.25">
      <c r="A158" s="1" t="s">
        <v>108</v>
      </c>
    </row>
    <row r="160" spans="1:16" x14ac:dyDescent="0.25">
      <c r="A160" s="3" t="s">
        <v>103</v>
      </c>
      <c r="B160" s="3"/>
      <c r="C160" s="3"/>
      <c r="D160" s="3" t="s">
        <v>106</v>
      </c>
      <c r="E160" s="3" t="s">
        <v>109</v>
      </c>
      <c r="F160" s="3" t="s">
        <v>9</v>
      </c>
    </row>
    <row r="161" spans="1:6" x14ac:dyDescent="0.25">
      <c r="A161" s="3" t="s">
        <v>104</v>
      </c>
      <c r="B161" s="2"/>
      <c r="C161" s="2"/>
      <c r="D161" s="2"/>
      <c r="E161" s="2"/>
      <c r="F161" s="2"/>
    </row>
    <row r="162" spans="1:6" x14ac:dyDescent="0.25">
      <c r="A162" s="3" t="s">
        <v>110</v>
      </c>
      <c r="B162" s="3">
        <v>1</v>
      </c>
      <c r="C162" s="3">
        <v>2</v>
      </c>
      <c r="D162" s="2">
        <v>138.68559999999999</v>
      </c>
      <c r="E162" s="2">
        <v>1</v>
      </c>
      <c r="F162" s="4">
        <v>5.1999999999999995E-32</v>
      </c>
    </row>
    <row r="163" spans="1:6" x14ac:dyDescent="0.25">
      <c r="A163" s="3" t="s">
        <v>110</v>
      </c>
      <c r="B163" s="3">
        <v>1</v>
      </c>
      <c r="C163" s="3">
        <v>3</v>
      </c>
      <c r="D163" s="2">
        <v>173.2106</v>
      </c>
      <c r="E163" s="2">
        <v>1</v>
      </c>
      <c r="F163" s="4">
        <v>1.5000000000000001E-39</v>
      </c>
    </row>
    <row r="164" spans="1:6" x14ac:dyDescent="0.25">
      <c r="A164" s="3" t="s">
        <v>110</v>
      </c>
      <c r="B164" s="3">
        <v>1</v>
      </c>
      <c r="C164" s="3">
        <v>4</v>
      </c>
      <c r="D164" s="2">
        <v>115.3507</v>
      </c>
      <c r="E164" s="2">
        <v>1</v>
      </c>
      <c r="F164" s="4">
        <v>6.6E-27</v>
      </c>
    </row>
    <row r="165" spans="1:6" x14ac:dyDescent="0.25">
      <c r="A165" s="3" t="s">
        <v>110</v>
      </c>
      <c r="B165" s="3">
        <v>2</v>
      </c>
      <c r="C165" s="3">
        <v>3</v>
      </c>
      <c r="D165" s="2">
        <v>5.0000000000000001E-4</v>
      </c>
      <c r="E165" s="2">
        <v>1</v>
      </c>
      <c r="F165" s="2">
        <v>0.98</v>
      </c>
    </row>
    <row r="166" spans="1:6" x14ac:dyDescent="0.25">
      <c r="A166" s="3" t="s">
        <v>110</v>
      </c>
      <c r="B166" s="3">
        <v>2</v>
      </c>
      <c r="C166" s="3">
        <v>4</v>
      </c>
      <c r="D166" s="2">
        <v>39.478299999999997</v>
      </c>
      <c r="E166" s="2">
        <v>1</v>
      </c>
      <c r="F166" s="4">
        <v>3.3E-10</v>
      </c>
    </row>
    <row r="167" spans="1:6" x14ac:dyDescent="0.25">
      <c r="A167" s="3" t="s">
        <v>110</v>
      </c>
      <c r="B167" s="3">
        <v>3</v>
      </c>
      <c r="C167" s="3">
        <v>4</v>
      </c>
      <c r="D167" s="2">
        <v>41.190600000000003</v>
      </c>
      <c r="E167" s="2">
        <v>1</v>
      </c>
      <c r="F167" s="4">
        <v>1.4000000000000001E-10</v>
      </c>
    </row>
    <row r="168" spans="1:6" x14ac:dyDescent="0.25">
      <c r="A168" s="3" t="s">
        <v>182</v>
      </c>
      <c r="B168" s="2"/>
      <c r="C168" s="2"/>
      <c r="D168" s="2"/>
      <c r="E168" s="2"/>
      <c r="F168" s="2"/>
    </row>
    <row r="169" spans="1:6" x14ac:dyDescent="0.25">
      <c r="A169" s="3" t="s">
        <v>110</v>
      </c>
      <c r="B169" s="3">
        <v>1</v>
      </c>
      <c r="C169" s="3">
        <v>2</v>
      </c>
      <c r="D169" s="2">
        <v>4.1433999999999997</v>
      </c>
      <c r="E169" s="2">
        <v>2</v>
      </c>
      <c r="F169" s="2">
        <v>0.13</v>
      </c>
    </row>
    <row r="170" spans="1:6" x14ac:dyDescent="0.25">
      <c r="A170" s="3" t="s">
        <v>110</v>
      </c>
      <c r="B170" s="3">
        <v>1</v>
      </c>
      <c r="C170" s="3">
        <v>3</v>
      </c>
      <c r="D170" s="2">
        <v>4.7615999999999996</v>
      </c>
      <c r="E170" s="2">
        <v>2</v>
      </c>
      <c r="F170" s="2">
        <v>9.1999999999999998E-2</v>
      </c>
    </row>
    <row r="171" spans="1:6" x14ac:dyDescent="0.25">
      <c r="A171" s="3" t="s">
        <v>110</v>
      </c>
      <c r="B171" s="3">
        <v>1</v>
      </c>
      <c r="C171" s="3">
        <v>4</v>
      </c>
      <c r="D171" s="2">
        <v>1.6344000000000001</v>
      </c>
      <c r="E171" s="2">
        <v>2</v>
      </c>
      <c r="F171" s="2">
        <v>0.44</v>
      </c>
    </row>
    <row r="172" spans="1:6" x14ac:dyDescent="0.25">
      <c r="A172" s="3" t="s">
        <v>110</v>
      </c>
      <c r="B172" s="3">
        <v>2</v>
      </c>
      <c r="C172" s="3">
        <v>3</v>
      </c>
      <c r="D172" s="2">
        <v>0.8276</v>
      </c>
      <c r="E172" s="2">
        <v>2</v>
      </c>
      <c r="F172" s="2">
        <v>0.66</v>
      </c>
    </row>
    <row r="173" spans="1:6" x14ac:dyDescent="0.25">
      <c r="A173" s="3" t="s">
        <v>110</v>
      </c>
      <c r="B173" s="3">
        <v>2</v>
      </c>
      <c r="C173" s="3">
        <v>4</v>
      </c>
      <c r="D173" s="2">
        <v>0.27579999999999999</v>
      </c>
      <c r="E173" s="2">
        <v>2</v>
      </c>
      <c r="F173" s="2">
        <v>0.87</v>
      </c>
    </row>
    <row r="174" spans="1:6" x14ac:dyDescent="0.25">
      <c r="A174" s="3" t="s">
        <v>110</v>
      </c>
      <c r="B174" s="3">
        <v>3</v>
      </c>
      <c r="C174" s="3">
        <v>4</v>
      </c>
      <c r="D174" s="2">
        <v>0.25280000000000002</v>
      </c>
      <c r="E174" s="2">
        <v>2</v>
      </c>
      <c r="F174" s="2">
        <v>0.88</v>
      </c>
    </row>
    <row r="176" spans="1:6" ht="18.75" x14ac:dyDescent="0.25">
      <c r="A176" s="1" t="s">
        <v>111</v>
      </c>
    </row>
    <row r="178" spans="1:9" ht="28.5" x14ac:dyDescent="0.25">
      <c r="A178" s="2"/>
      <c r="B178" s="3" t="s">
        <v>42</v>
      </c>
      <c r="C178" s="3" t="s">
        <v>105</v>
      </c>
      <c r="D178" s="3" t="s">
        <v>43</v>
      </c>
      <c r="E178" s="3" t="s">
        <v>105</v>
      </c>
      <c r="F178" s="3" t="s">
        <v>44</v>
      </c>
      <c r="G178" s="3" t="s">
        <v>105</v>
      </c>
      <c r="H178" s="3" t="s">
        <v>45</v>
      </c>
      <c r="I178" s="3" t="s">
        <v>105</v>
      </c>
    </row>
    <row r="179" spans="1:9" x14ac:dyDescent="0.25">
      <c r="A179" s="3" t="s">
        <v>112</v>
      </c>
      <c r="B179" s="2">
        <v>0.65720000000000001</v>
      </c>
      <c r="C179" s="2">
        <v>1.8700000000000001E-2</v>
      </c>
      <c r="D179" s="2">
        <v>0.1661</v>
      </c>
      <c r="E179" s="2">
        <v>1.61E-2</v>
      </c>
      <c r="F179" s="2">
        <v>0.1603</v>
      </c>
      <c r="G179" s="2">
        <v>1.3899999999999999E-2</v>
      </c>
      <c r="H179" s="2">
        <v>1.6500000000000001E-2</v>
      </c>
      <c r="I179" s="2">
        <v>4.4999999999999997E-3</v>
      </c>
    </row>
    <row r="180" spans="1:9" x14ac:dyDescent="0.25">
      <c r="A180" s="3" t="s">
        <v>107</v>
      </c>
      <c r="B180" s="2"/>
      <c r="C180" s="2"/>
      <c r="D180" s="2"/>
      <c r="E180" s="2"/>
      <c r="F180" s="2"/>
      <c r="G180" s="2"/>
      <c r="H180" s="2"/>
      <c r="I180" s="2"/>
    </row>
    <row r="181" spans="1:9" x14ac:dyDescent="0.25">
      <c r="A181" s="3" t="s">
        <v>182</v>
      </c>
      <c r="B181" s="2"/>
      <c r="C181" s="2"/>
      <c r="D181" s="2"/>
      <c r="E181" s="2"/>
      <c r="F181" s="2"/>
      <c r="G181" s="2"/>
      <c r="H181" s="2"/>
      <c r="I181" s="2"/>
    </row>
    <row r="182" spans="1:9" x14ac:dyDescent="0.25">
      <c r="A182" s="3" t="s">
        <v>174</v>
      </c>
      <c r="B182" s="2">
        <v>0.38290000000000002</v>
      </c>
      <c r="C182" s="2" t="s">
        <v>11</v>
      </c>
      <c r="D182" s="2">
        <v>0.35730000000000001</v>
      </c>
      <c r="E182" s="2" t="s">
        <v>11</v>
      </c>
      <c r="F182" s="2">
        <v>0.31109999999999999</v>
      </c>
      <c r="G182" s="2" t="s">
        <v>11</v>
      </c>
      <c r="H182" s="2">
        <v>0.28720000000000001</v>
      </c>
      <c r="I182" s="2" t="s">
        <v>11</v>
      </c>
    </row>
    <row r="183" spans="1:9" x14ac:dyDescent="0.25">
      <c r="A183" s="3" t="s">
        <v>183</v>
      </c>
      <c r="B183" s="2">
        <v>0.20649999999999999</v>
      </c>
      <c r="C183" s="2" t="s">
        <v>11</v>
      </c>
      <c r="D183" s="2">
        <v>0.13089999999999999</v>
      </c>
      <c r="E183" s="2" t="s">
        <v>11</v>
      </c>
      <c r="F183" s="2">
        <v>0.16520000000000001</v>
      </c>
      <c r="G183" s="2" t="s">
        <v>11</v>
      </c>
      <c r="H183" s="2">
        <v>0.1225</v>
      </c>
      <c r="I183" s="2" t="s">
        <v>11</v>
      </c>
    </row>
    <row r="184" spans="1:9" x14ac:dyDescent="0.25">
      <c r="A184" s="3" t="s">
        <v>184</v>
      </c>
      <c r="B184" s="2">
        <v>0.41060000000000002</v>
      </c>
      <c r="C184" s="2" t="s">
        <v>11</v>
      </c>
      <c r="D184" s="2">
        <v>0.51180000000000003</v>
      </c>
      <c r="E184" s="2" t="s">
        <v>11</v>
      </c>
      <c r="F184" s="2">
        <v>0.52380000000000004</v>
      </c>
      <c r="G184" s="2" t="s">
        <v>11</v>
      </c>
      <c r="H184" s="2">
        <v>0.59030000000000005</v>
      </c>
      <c r="I184" s="2" t="s">
        <v>11</v>
      </c>
    </row>
    <row r="186" spans="1:9" ht="18.75" x14ac:dyDescent="0.25">
      <c r="A186" s="1" t="s">
        <v>113</v>
      </c>
    </row>
    <row r="188" spans="1:9" ht="28.5" x14ac:dyDescent="0.25">
      <c r="A188" s="2"/>
      <c r="B188" s="3" t="s">
        <v>42</v>
      </c>
      <c r="C188" s="3" t="s">
        <v>43</v>
      </c>
      <c r="D188" s="3" t="s">
        <v>44</v>
      </c>
      <c r="E188" s="3" t="s">
        <v>45</v>
      </c>
    </row>
    <row r="189" spans="1:9" x14ac:dyDescent="0.25">
      <c r="A189" s="3" t="s">
        <v>114</v>
      </c>
      <c r="B189" s="2">
        <v>0.65720000000000001</v>
      </c>
      <c r="C189" s="2">
        <v>0.1661</v>
      </c>
      <c r="D189" s="2">
        <v>0.1603</v>
      </c>
      <c r="E189" s="2">
        <v>1.6500000000000001E-2</v>
      </c>
    </row>
    <row r="190" spans="1:9" x14ac:dyDescent="0.25">
      <c r="A190" s="3" t="s">
        <v>107</v>
      </c>
      <c r="B190" s="2"/>
      <c r="C190" s="2"/>
      <c r="D190" s="2"/>
      <c r="E190" s="2"/>
    </row>
    <row r="191" spans="1:9" x14ac:dyDescent="0.25">
      <c r="A191" s="3" t="s">
        <v>182</v>
      </c>
      <c r="B191" s="2"/>
      <c r="C191" s="2"/>
      <c r="D191" s="2"/>
      <c r="E191" s="2"/>
    </row>
    <row r="192" spans="1:9" x14ac:dyDescent="0.25">
      <c r="A192" s="3" t="s">
        <v>174</v>
      </c>
      <c r="B192" s="2">
        <v>0.68840000000000001</v>
      </c>
      <c r="C192" s="2">
        <v>0.1623</v>
      </c>
      <c r="D192" s="2">
        <v>0.13639999999999999</v>
      </c>
      <c r="E192" s="2">
        <v>1.29E-2</v>
      </c>
    </row>
    <row r="193" spans="1:9" x14ac:dyDescent="0.25">
      <c r="A193" s="3" t="s">
        <v>183</v>
      </c>
      <c r="B193" s="2">
        <v>0.72989999999999999</v>
      </c>
      <c r="C193" s="2">
        <v>0.1169</v>
      </c>
      <c r="D193" s="2">
        <v>0.1424</v>
      </c>
      <c r="E193" s="2">
        <v>1.0800000000000001E-2</v>
      </c>
    </row>
    <row r="194" spans="1:9" x14ac:dyDescent="0.25">
      <c r="A194" s="3" t="s">
        <v>184</v>
      </c>
      <c r="B194" s="2">
        <v>0.60170000000000001</v>
      </c>
      <c r="C194" s="2">
        <v>0.1895</v>
      </c>
      <c r="D194" s="2">
        <v>0.18720000000000001</v>
      </c>
      <c r="E194" s="2">
        <v>2.1700000000000001E-2</v>
      </c>
    </row>
    <row r="196" spans="1:9" ht="18.75" x14ac:dyDescent="0.25">
      <c r="A196" s="1" t="s">
        <v>115</v>
      </c>
    </row>
    <row r="198" spans="1:9" x14ac:dyDescent="0.25">
      <c r="A198" s="2"/>
      <c r="B198" s="35" t="s">
        <v>110</v>
      </c>
      <c r="C198" s="36"/>
      <c r="D198" s="36"/>
      <c r="E198" s="36"/>
      <c r="F198" s="36"/>
      <c r="G198" s="36"/>
      <c r="H198" s="36"/>
      <c r="I198" s="37"/>
    </row>
    <row r="199" spans="1:9" x14ac:dyDescent="0.25">
      <c r="A199" s="3" t="s">
        <v>182</v>
      </c>
      <c r="B199" s="3">
        <v>1</v>
      </c>
      <c r="C199" s="3" t="s">
        <v>105</v>
      </c>
      <c r="D199" s="3">
        <v>2</v>
      </c>
      <c r="E199" s="3" t="s">
        <v>105</v>
      </c>
      <c r="F199" s="3">
        <v>3</v>
      </c>
      <c r="G199" s="3" t="s">
        <v>105</v>
      </c>
      <c r="H199" s="3">
        <v>4</v>
      </c>
      <c r="I199" s="3" t="s">
        <v>105</v>
      </c>
    </row>
    <row r="200" spans="1:9" x14ac:dyDescent="0.25">
      <c r="A200" s="3" t="s">
        <v>174</v>
      </c>
      <c r="B200" s="2">
        <v>0.68840000000000001</v>
      </c>
      <c r="C200" s="2">
        <v>2.81E-2</v>
      </c>
      <c r="D200" s="2">
        <v>0.1623</v>
      </c>
      <c r="E200" s="2">
        <v>2.4E-2</v>
      </c>
      <c r="F200" s="2">
        <v>0.13639999999999999</v>
      </c>
      <c r="G200" s="2">
        <v>1.9199999999999998E-2</v>
      </c>
      <c r="H200" s="2">
        <v>1.29E-2</v>
      </c>
      <c r="I200" s="2">
        <v>7.7000000000000002E-3</v>
      </c>
    </row>
    <row r="201" spans="1:9" x14ac:dyDescent="0.25">
      <c r="A201" s="3" t="s">
        <v>183</v>
      </c>
      <c r="B201" s="2">
        <v>0.72989999999999999</v>
      </c>
      <c r="C201" s="2">
        <v>3.6600000000000001E-2</v>
      </c>
      <c r="D201" s="2">
        <v>0.1169</v>
      </c>
      <c r="E201" s="2">
        <v>2.87E-2</v>
      </c>
      <c r="F201" s="2">
        <v>0.1424</v>
      </c>
      <c r="G201" s="2">
        <v>2.9100000000000001E-2</v>
      </c>
      <c r="H201" s="2">
        <v>1.0800000000000001E-2</v>
      </c>
      <c r="I201" s="2">
        <v>8.8000000000000005E-3</v>
      </c>
    </row>
    <row r="202" spans="1:9" x14ac:dyDescent="0.25">
      <c r="A202" s="3" t="s">
        <v>184</v>
      </c>
      <c r="B202" s="2">
        <v>0.60170000000000001</v>
      </c>
      <c r="C202" s="2">
        <v>3.15E-2</v>
      </c>
      <c r="D202" s="2">
        <v>0.1895</v>
      </c>
      <c r="E202" s="2">
        <v>2.7699999999999999E-2</v>
      </c>
      <c r="F202" s="2">
        <v>0.18720000000000001</v>
      </c>
      <c r="G202" s="2">
        <v>2.3400000000000001E-2</v>
      </c>
      <c r="H202" s="2">
        <v>2.1700000000000001E-2</v>
      </c>
      <c r="I202" s="2">
        <v>6.7000000000000002E-3</v>
      </c>
    </row>
    <row r="203" spans="1:9" x14ac:dyDescent="0.25">
      <c r="A203" s="38"/>
      <c r="B203" s="39"/>
      <c r="C203" s="39"/>
      <c r="D203" s="39"/>
      <c r="E203" s="39"/>
      <c r="F203" s="39"/>
      <c r="G203" s="39"/>
      <c r="H203" s="39"/>
      <c r="I203" s="40"/>
    </row>
    <row r="204" spans="1:9" x14ac:dyDescent="0.25">
      <c r="A204" s="2"/>
      <c r="B204" s="35" t="s">
        <v>116</v>
      </c>
      <c r="C204" s="36"/>
      <c r="D204" s="36"/>
      <c r="E204" s="36"/>
      <c r="F204" s="36"/>
      <c r="G204" s="36"/>
      <c r="H204" s="36"/>
      <c r="I204" s="37"/>
    </row>
    <row r="205" spans="1:9" x14ac:dyDescent="0.25">
      <c r="A205" s="3" t="s">
        <v>110</v>
      </c>
      <c r="B205" s="3" t="s">
        <v>88</v>
      </c>
      <c r="C205" s="3" t="s">
        <v>105</v>
      </c>
      <c r="D205" s="3" t="s">
        <v>90</v>
      </c>
      <c r="E205" s="3" t="s">
        <v>105</v>
      </c>
      <c r="F205" s="3" t="s">
        <v>91</v>
      </c>
      <c r="G205" s="3" t="s">
        <v>105</v>
      </c>
      <c r="H205" s="3" t="s">
        <v>92</v>
      </c>
      <c r="I205" s="3" t="s">
        <v>105</v>
      </c>
    </row>
    <row r="206" spans="1:9" x14ac:dyDescent="0.25">
      <c r="A206" s="3">
        <v>1</v>
      </c>
      <c r="B206" s="2">
        <v>0.95289999999999997</v>
      </c>
      <c r="C206" s="2" t="s">
        <v>11</v>
      </c>
      <c r="D206" s="2">
        <v>3.7100000000000001E-2</v>
      </c>
      <c r="E206" s="2" t="s">
        <v>11</v>
      </c>
      <c r="F206" s="2">
        <v>9.4999999999999998E-3</v>
      </c>
      <c r="G206" s="2" t="s">
        <v>11</v>
      </c>
      <c r="H206" s="2">
        <v>5.0000000000000001E-4</v>
      </c>
      <c r="I206" s="2" t="s">
        <v>11</v>
      </c>
    </row>
    <row r="207" spans="1:9" x14ac:dyDescent="0.25">
      <c r="A207" s="3">
        <v>2</v>
      </c>
      <c r="B207" s="2">
        <v>0.1469</v>
      </c>
      <c r="C207" s="2" t="s">
        <v>11</v>
      </c>
      <c r="D207" s="2">
        <v>0.80220000000000002</v>
      </c>
      <c r="E207" s="2" t="s">
        <v>11</v>
      </c>
      <c r="F207" s="2">
        <v>5.0700000000000002E-2</v>
      </c>
      <c r="G207" s="2" t="s">
        <v>11</v>
      </c>
      <c r="H207" s="2">
        <v>2.0000000000000001E-4</v>
      </c>
      <c r="I207" s="2" t="s">
        <v>11</v>
      </c>
    </row>
    <row r="208" spans="1:9" x14ac:dyDescent="0.25">
      <c r="A208" s="3">
        <v>3</v>
      </c>
      <c r="B208" s="2">
        <v>3.8800000000000001E-2</v>
      </c>
      <c r="C208" s="2" t="s">
        <v>11</v>
      </c>
      <c r="D208" s="2">
        <v>5.2499999999999998E-2</v>
      </c>
      <c r="E208" s="2" t="s">
        <v>11</v>
      </c>
      <c r="F208" s="2">
        <v>0.90569999999999995</v>
      </c>
      <c r="G208" s="2" t="s">
        <v>11</v>
      </c>
      <c r="H208" s="2">
        <v>3.0000000000000001E-3</v>
      </c>
      <c r="I208" s="2" t="s">
        <v>11</v>
      </c>
    </row>
    <row r="209" spans="1:9" x14ac:dyDescent="0.25">
      <c r="A209" s="3">
        <v>4</v>
      </c>
      <c r="B209" s="2">
        <v>1.9400000000000001E-2</v>
      </c>
      <c r="C209" s="2" t="s">
        <v>11</v>
      </c>
      <c r="D209" s="2">
        <v>2E-3</v>
      </c>
      <c r="E209" s="2" t="s">
        <v>11</v>
      </c>
      <c r="F209" s="2">
        <v>2.9399999999999999E-2</v>
      </c>
      <c r="G209" s="2" t="s">
        <v>11</v>
      </c>
      <c r="H209" s="2">
        <v>0.94920000000000004</v>
      </c>
      <c r="I209" s="2" t="s">
        <v>11</v>
      </c>
    </row>
  </sheetData>
  <mergeCells count="5">
    <mergeCell ref="A3:F3"/>
    <mergeCell ref="B69:F69"/>
    <mergeCell ref="B198:I198"/>
    <mergeCell ref="A203:I203"/>
    <mergeCell ref="B204:I20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Table D2a</vt:lpstr>
      <vt:lpstr>Figure D1a and D6-suppliers</vt:lpstr>
      <vt:lpstr>Figure D2a-D5-suppliers</vt:lpstr>
      <vt:lpstr>a1 results</vt:lpstr>
      <vt:lpstr>h7a</vt:lpstr>
      <vt:lpstr>h30</vt:lpstr>
      <vt:lpstr>ASCj16</vt:lpstr>
      <vt:lpstr>ASCj19</vt:lpstr>
      <vt:lpstr>sector_3</vt:lpstr>
      <vt:lpstr>isic</vt:lpstr>
      <vt:lpstr>mgmt</vt:lpstr>
      <vt:lpstr>b7</vt:lpstr>
      <vt:lpstr>size4</vt:lpstr>
      <vt:lpstr>Age cont</vt:lpstr>
      <vt:lpstr>b2a</vt:lpstr>
      <vt:lpstr>car7</vt:lpstr>
      <vt:lpstr>tr16</vt:lpstr>
      <vt:lpstr>b4a</vt:lpstr>
      <vt:lpstr>gend4</vt:lpstr>
      <vt:lpstr>e1</vt:lpstr>
      <vt:lpstr>a7</vt:lpstr>
      <vt:lpstr>b1</vt:lpstr>
      <vt:lpstr>lform3</vt:lpstr>
      <vt:lpstr>shareholding</vt:lpstr>
      <vt:lpstr>ASCd7</vt:lpstr>
      <vt:lpstr>graft2 exp</vt:lpstr>
      <vt:lpstr>graft3 exp</vt:lpstr>
      <vt:lpstr>crime1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Karalashvili</dc:creator>
  <cp:lastModifiedBy>Nona Karalashvili</cp:lastModifiedBy>
  <dcterms:created xsi:type="dcterms:W3CDTF">2018-05-15T17:53:38Z</dcterms:created>
  <dcterms:modified xsi:type="dcterms:W3CDTF">2023-01-03T23:04:20Z</dcterms:modified>
</cp:coreProperties>
</file>