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FPDEA\Projects\Enforceable Agreements\!_JLEO publication submission\"/>
    </mc:Choice>
  </mc:AlternateContent>
  <xr:revisionPtr revIDLastSave="0" documentId="13_ncr:1_{5EA14E1C-7F62-47B7-BF03-0ADC96614FE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le 4_suppliers" sheetId="39" r:id="rId1"/>
    <sheet name="Figure 1a" sheetId="2" r:id="rId2"/>
    <sheet name="Figure 2a" sheetId="40" r:id="rId3"/>
    <sheet name="Figure 3a" sheetId="31" r:id="rId4"/>
    <sheet name="a1 results" sheetId="1" r:id="rId5"/>
    <sheet name="Argentina" sheetId="41" r:id="rId6"/>
    <sheet name="Bolivia" sheetId="42" r:id="rId7"/>
    <sheet name="Ecuador" sheetId="45" r:id="rId8"/>
    <sheet name="Paraguay" sheetId="43" r:id="rId9"/>
    <sheet name="Peru" sheetId="44" r:id="rId10"/>
    <sheet name="Uruguay" sheetId="46" r:id="rId11"/>
    <sheet name="size4" sheetId="9" r:id="rId12"/>
    <sheet name="b2a" sheetId="11" r:id="rId13"/>
    <sheet name="car7" sheetId="14" r:id="rId14"/>
    <sheet name="mgmt" sheetId="28" r:id="rId15"/>
    <sheet name="isic" sheetId="53" r:id="rId16"/>
  </sheets>
  <definedNames>
    <definedName name="_xlnm._FilterDatabase" localSheetId="3" hidden="1">'Figure 3a'!#REF!</definedName>
    <definedName name="_xlnm._FilterDatabase" localSheetId="0" hidden="1">'Table 4_suppliers'!$A$1:$J$13</definedName>
    <definedName name="solver_typ" localSheetId="2" hidden="1">2</definedName>
    <definedName name="solver_typ" localSheetId="3" hidden="1">2</definedName>
    <definedName name="solver_typ" localSheetId="0" hidden="1">2</definedName>
    <definedName name="solver_ver" localSheetId="2" hidden="1">17</definedName>
    <definedName name="solver_ver" localSheetId="3" hidden="1">17</definedName>
    <definedName name="solver_ver" localSheetId="0" hidden="1">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31" l="1"/>
  <c r="D9" i="31"/>
  <c r="E9" i="31"/>
  <c r="F9" i="31"/>
  <c r="G9" i="31"/>
  <c r="H9" i="31"/>
  <c r="I9" i="31"/>
  <c r="J9" i="31"/>
  <c r="C10" i="31"/>
  <c r="D10" i="31"/>
  <c r="E10" i="31"/>
  <c r="F10" i="31"/>
  <c r="G10" i="31"/>
  <c r="H10" i="31"/>
  <c r="I10" i="31"/>
  <c r="J10" i="31"/>
  <c r="C11" i="31"/>
  <c r="D11" i="31"/>
  <c r="E11" i="31"/>
  <c r="F11" i="31"/>
  <c r="G11" i="31"/>
  <c r="H11" i="31"/>
  <c r="I11" i="31"/>
  <c r="J11" i="31"/>
  <c r="C12" i="31"/>
  <c r="D12" i="31"/>
  <c r="E12" i="31"/>
  <c r="F12" i="31"/>
  <c r="G12" i="31"/>
  <c r="H12" i="31"/>
  <c r="I12" i="31"/>
  <c r="J12" i="31"/>
  <c r="C13" i="31"/>
  <c r="D13" i="31"/>
  <c r="E13" i="31"/>
  <c r="F13" i="31"/>
  <c r="G13" i="31"/>
  <c r="H13" i="31"/>
  <c r="I13" i="31"/>
  <c r="J13" i="31"/>
  <c r="C14" i="31"/>
  <c r="D14" i="31"/>
  <c r="E14" i="31"/>
  <c r="F14" i="31"/>
  <c r="G14" i="31"/>
  <c r="H14" i="31"/>
  <c r="I14" i="31"/>
  <c r="J14" i="31"/>
  <c r="C15" i="31"/>
  <c r="D15" i="31"/>
  <c r="E15" i="31"/>
  <c r="F15" i="31"/>
  <c r="G15" i="31"/>
  <c r="H15" i="31"/>
  <c r="I15" i="31"/>
  <c r="J15" i="31"/>
  <c r="C16" i="31"/>
  <c r="D16" i="31"/>
  <c r="E16" i="31"/>
  <c r="F16" i="31"/>
  <c r="G16" i="31"/>
  <c r="H16" i="31"/>
  <c r="I16" i="31"/>
  <c r="J16" i="31"/>
  <c r="C17" i="31"/>
  <c r="D17" i="31"/>
  <c r="E17" i="31"/>
  <c r="F17" i="31"/>
  <c r="G17" i="31"/>
  <c r="H17" i="31"/>
  <c r="I17" i="31"/>
  <c r="J17" i="31"/>
  <c r="C18" i="31"/>
  <c r="D18" i="31"/>
  <c r="E18" i="31"/>
  <c r="F18" i="31"/>
  <c r="G18" i="31"/>
  <c r="H18" i="31"/>
  <c r="I18" i="31"/>
  <c r="J18" i="31"/>
  <c r="C19" i="31"/>
  <c r="D19" i="31"/>
  <c r="E19" i="31"/>
  <c r="F19" i="31"/>
  <c r="G19" i="31"/>
  <c r="H19" i="31"/>
  <c r="I19" i="31"/>
  <c r="J19" i="31"/>
  <c r="C20" i="31"/>
  <c r="D20" i="31"/>
  <c r="E20" i="31"/>
  <c r="F20" i="31"/>
  <c r="G20" i="31"/>
  <c r="H20" i="31"/>
  <c r="I20" i="31"/>
  <c r="J20" i="31"/>
  <c r="C21" i="31"/>
  <c r="D21" i="31"/>
  <c r="E21" i="31"/>
  <c r="F21" i="31"/>
  <c r="G21" i="31"/>
  <c r="H21" i="31"/>
  <c r="I21" i="31"/>
  <c r="J21" i="31"/>
  <c r="C22" i="31"/>
  <c r="D22" i="31"/>
  <c r="E22" i="31"/>
  <c r="F22" i="31"/>
  <c r="G22" i="31"/>
  <c r="H22" i="31"/>
  <c r="I22" i="31"/>
  <c r="J22" i="31"/>
  <c r="C23" i="31"/>
  <c r="D23" i="31"/>
  <c r="E23" i="31"/>
  <c r="F23" i="31"/>
  <c r="G23" i="31"/>
  <c r="H23" i="31"/>
  <c r="I23" i="31"/>
  <c r="J23" i="31"/>
  <c r="C24" i="31"/>
  <c r="D24" i="31"/>
  <c r="E24" i="31"/>
  <c r="F24" i="31"/>
  <c r="G24" i="31"/>
  <c r="H24" i="31"/>
  <c r="I24" i="31"/>
  <c r="J24" i="31"/>
  <c r="C25" i="31"/>
  <c r="D25" i="31"/>
  <c r="E25" i="31"/>
  <c r="F25" i="31"/>
  <c r="G25" i="31"/>
  <c r="H25" i="31"/>
  <c r="I25" i="31"/>
  <c r="J25" i="31"/>
  <c r="C26" i="31"/>
  <c r="D26" i="31"/>
  <c r="E26" i="31"/>
  <c r="F26" i="31"/>
  <c r="G26" i="31"/>
  <c r="H26" i="31"/>
  <c r="I26" i="31"/>
  <c r="J26" i="31"/>
  <c r="C27" i="31"/>
  <c r="D27" i="31"/>
  <c r="E27" i="31"/>
  <c r="F27" i="31"/>
  <c r="G27" i="31"/>
  <c r="H27" i="31"/>
  <c r="I27" i="31"/>
  <c r="J27" i="31"/>
  <c r="C28" i="31"/>
  <c r="D28" i="31"/>
  <c r="E28" i="31"/>
  <c r="F28" i="31"/>
  <c r="G28" i="31"/>
  <c r="H28" i="31"/>
  <c r="I28" i="31"/>
  <c r="J28" i="31"/>
  <c r="C29" i="31"/>
  <c r="D29" i="31"/>
  <c r="E29" i="31"/>
  <c r="F29" i="31"/>
  <c r="G29" i="31"/>
  <c r="H29" i="31"/>
  <c r="I29" i="31"/>
  <c r="J29" i="31"/>
  <c r="C30" i="31"/>
  <c r="D30" i="31"/>
  <c r="E30" i="31"/>
  <c r="F30" i="31"/>
  <c r="G30" i="31"/>
  <c r="H30" i="31"/>
  <c r="I30" i="31"/>
  <c r="J30" i="31"/>
  <c r="C31" i="31"/>
  <c r="D31" i="31"/>
  <c r="E31" i="31"/>
  <c r="F31" i="31"/>
  <c r="G31" i="31"/>
  <c r="H31" i="31"/>
  <c r="I31" i="31"/>
  <c r="J31" i="31"/>
  <c r="C32" i="31"/>
  <c r="D32" i="31"/>
  <c r="E32" i="31"/>
  <c r="F32" i="31"/>
  <c r="G32" i="31"/>
  <c r="H32" i="31"/>
  <c r="I32" i="31"/>
  <c r="J32" i="31"/>
  <c r="C33" i="31"/>
  <c r="D33" i="31"/>
  <c r="E33" i="31"/>
  <c r="F33" i="31"/>
  <c r="G33" i="31"/>
  <c r="H33" i="31"/>
  <c r="I33" i="31"/>
  <c r="J33" i="31"/>
  <c r="C34" i="31"/>
  <c r="D34" i="31"/>
  <c r="E34" i="31"/>
  <c r="F34" i="31"/>
  <c r="G34" i="31"/>
  <c r="H34" i="31"/>
  <c r="I34" i="31"/>
  <c r="J34" i="31"/>
  <c r="C35" i="31"/>
  <c r="D35" i="31"/>
  <c r="E35" i="31"/>
  <c r="F35" i="31"/>
  <c r="G35" i="31"/>
  <c r="H35" i="31"/>
  <c r="I35" i="31"/>
  <c r="J35" i="31"/>
  <c r="C36" i="31"/>
  <c r="D36" i="31"/>
  <c r="E36" i="31"/>
  <c r="F36" i="31"/>
  <c r="G36" i="31"/>
  <c r="H36" i="31"/>
  <c r="I36" i="31"/>
  <c r="J36" i="31"/>
  <c r="C37" i="31"/>
  <c r="D37" i="31"/>
  <c r="E37" i="31"/>
  <c r="F37" i="31"/>
  <c r="G37" i="31"/>
  <c r="H37" i="31"/>
  <c r="I37" i="31"/>
  <c r="J37" i="31"/>
  <c r="C38" i="31"/>
  <c r="D38" i="31"/>
  <c r="E38" i="31"/>
  <c r="F38" i="31"/>
  <c r="G38" i="31"/>
  <c r="H38" i="31"/>
  <c r="I38" i="31"/>
  <c r="J38" i="31"/>
  <c r="C39" i="31"/>
  <c r="D39" i="31"/>
  <c r="E39" i="31"/>
  <c r="F39" i="31"/>
  <c r="G39" i="31"/>
  <c r="H39" i="31"/>
  <c r="I39" i="31"/>
  <c r="J39" i="31"/>
  <c r="C40" i="31"/>
  <c r="D40" i="31"/>
  <c r="E40" i="31"/>
  <c r="F40" i="31"/>
  <c r="G40" i="31"/>
  <c r="H40" i="31"/>
  <c r="I40" i="31"/>
  <c r="J40" i="31"/>
  <c r="C41" i="31"/>
  <c r="D41" i="31"/>
  <c r="E41" i="31"/>
  <c r="F41" i="31"/>
  <c r="G41" i="31"/>
  <c r="H41" i="31"/>
  <c r="I41" i="31"/>
  <c r="J41" i="31"/>
  <c r="C42" i="31"/>
  <c r="D42" i="31"/>
  <c r="E42" i="31"/>
  <c r="F42" i="31"/>
  <c r="G42" i="31"/>
  <c r="H42" i="31"/>
  <c r="I42" i="31"/>
  <c r="J42" i="31"/>
  <c r="C43" i="31"/>
  <c r="D43" i="31"/>
  <c r="E43" i="31"/>
  <c r="F43" i="31"/>
  <c r="G43" i="31"/>
  <c r="H43" i="31"/>
  <c r="I43" i="31"/>
  <c r="J43" i="31"/>
  <c r="C44" i="31"/>
  <c r="D44" i="31"/>
  <c r="E44" i="31"/>
  <c r="F44" i="31"/>
  <c r="G44" i="31"/>
  <c r="H44" i="31"/>
  <c r="I44" i="31"/>
  <c r="J44" i="31"/>
  <c r="C45" i="31"/>
  <c r="D45" i="31"/>
  <c r="E45" i="31"/>
  <c r="F45" i="31"/>
  <c r="G45" i="31"/>
  <c r="H45" i="31"/>
  <c r="I45" i="31"/>
  <c r="J45" i="31"/>
  <c r="C46" i="31"/>
  <c r="D46" i="31"/>
  <c r="E46" i="31"/>
  <c r="F46" i="31"/>
  <c r="G46" i="31"/>
  <c r="H46" i="31"/>
  <c r="I46" i="31"/>
  <c r="J46" i="31"/>
  <c r="C47" i="31"/>
  <c r="D47" i="31"/>
  <c r="E47" i="31"/>
  <c r="F47" i="31"/>
  <c r="G47" i="31"/>
  <c r="H47" i="31"/>
  <c r="I47" i="31"/>
  <c r="J47" i="31"/>
  <c r="C48" i="31"/>
  <c r="D48" i="31"/>
  <c r="E48" i="31"/>
  <c r="F48" i="31"/>
  <c r="G48" i="31"/>
  <c r="H48" i="31"/>
  <c r="I48" i="31"/>
  <c r="J48" i="31"/>
  <c r="C49" i="31"/>
  <c r="D49" i="31"/>
  <c r="E49" i="31"/>
  <c r="F49" i="31"/>
  <c r="G49" i="31"/>
  <c r="H49" i="31"/>
  <c r="I49" i="31"/>
  <c r="J49" i="31"/>
  <c r="C50" i="31"/>
  <c r="D50" i="31"/>
  <c r="E50" i="31"/>
  <c r="F50" i="31"/>
  <c r="G50" i="31"/>
  <c r="H50" i="31"/>
  <c r="I50" i="31"/>
  <c r="J50" i="31"/>
  <c r="C51" i="31"/>
  <c r="D51" i="31"/>
  <c r="E51" i="31"/>
  <c r="F51" i="31"/>
  <c r="G51" i="31"/>
  <c r="H51" i="31"/>
  <c r="I51" i="31"/>
  <c r="J51" i="31"/>
  <c r="C52" i="31"/>
  <c r="D52" i="31"/>
  <c r="E52" i="31"/>
  <c r="F52" i="31"/>
  <c r="G52" i="31"/>
  <c r="H52" i="31"/>
  <c r="I52" i="31"/>
  <c r="J52" i="31"/>
  <c r="C53" i="31"/>
  <c r="D53" i="31"/>
  <c r="E53" i="31"/>
  <c r="F53" i="31"/>
  <c r="G53" i="31"/>
  <c r="H53" i="31"/>
  <c r="I53" i="31"/>
  <c r="J53" i="31"/>
  <c r="C54" i="31"/>
  <c r="D54" i="31"/>
  <c r="E54" i="31"/>
  <c r="F54" i="31"/>
  <c r="G54" i="31"/>
  <c r="H54" i="31"/>
  <c r="I54" i="31"/>
  <c r="J54" i="31"/>
  <c r="C55" i="31"/>
  <c r="D55" i="31"/>
  <c r="E55" i="31"/>
  <c r="F55" i="31"/>
  <c r="G55" i="31"/>
  <c r="H55" i="31"/>
  <c r="I55" i="31"/>
  <c r="J55" i="31"/>
  <c r="C56" i="31"/>
  <c r="D56" i="31"/>
  <c r="E56" i="31"/>
  <c r="F56" i="31"/>
  <c r="G56" i="31"/>
  <c r="H56" i="31"/>
  <c r="I56" i="31"/>
  <c r="J56" i="31"/>
  <c r="C57" i="31"/>
  <c r="D57" i="31"/>
  <c r="E57" i="31"/>
  <c r="F57" i="31"/>
  <c r="G57" i="31"/>
  <c r="H57" i="31"/>
  <c r="I57" i="31"/>
  <c r="J57" i="31"/>
  <c r="C58" i="31"/>
  <c r="D58" i="31"/>
  <c r="E58" i="31"/>
  <c r="F58" i="31"/>
  <c r="G58" i="31"/>
  <c r="H58" i="31"/>
  <c r="I58" i="31"/>
  <c r="J58" i="31"/>
  <c r="C59" i="31"/>
  <c r="D59" i="31"/>
  <c r="E59" i="31"/>
  <c r="F59" i="31"/>
  <c r="G59" i="31"/>
  <c r="H59" i="31"/>
  <c r="I59" i="31"/>
  <c r="J59" i="31"/>
  <c r="C60" i="31"/>
  <c r="D60" i="31"/>
  <c r="E60" i="31"/>
  <c r="F60" i="31"/>
  <c r="G60" i="31"/>
  <c r="H60" i="31"/>
  <c r="I60" i="31"/>
  <c r="J60" i="31"/>
  <c r="C61" i="31"/>
  <c r="D61" i="31"/>
  <c r="E61" i="31"/>
  <c r="F61" i="31"/>
  <c r="G61" i="31"/>
  <c r="H61" i="31"/>
  <c r="I61" i="31"/>
  <c r="J61" i="31"/>
  <c r="C62" i="31"/>
  <c r="D62" i="31"/>
  <c r="E62" i="31"/>
  <c r="F62" i="31"/>
  <c r="G62" i="31"/>
  <c r="H62" i="31"/>
  <c r="I62" i="31"/>
  <c r="J62" i="31"/>
  <c r="C63" i="31"/>
  <c r="D63" i="31"/>
  <c r="E63" i="31"/>
  <c r="F63" i="31"/>
  <c r="G63" i="31"/>
  <c r="H63" i="31"/>
  <c r="I63" i="31"/>
  <c r="J63" i="31"/>
  <c r="C64" i="31"/>
  <c r="D64" i="31"/>
  <c r="E64" i="31"/>
  <c r="F64" i="31"/>
  <c r="G64" i="31"/>
  <c r="H64" i="31"/>
  <c r="I64" i="31"/>
  <c r="J64" i="31"/>
  <c r="C65" i="31"/>
  <c r="D65" i="31"/>
  <c r="E65" i="31"/>
  <c r="F65" i="31"/>
  <c r="G65" i="31"/>
  <c r="H65" i="31"/>
  <c r="I65" i="31"/>
  <c r="J65" i="31"/>
  <c r="C66" i="31"/>
  <c r="D66" i="31"/>
  <c r="E66" i="31"/>
  <c r="F66" i="31"/>
  <c r="G66" i="31"/>
  <c r="H66" i="31"/>
  <c r="I66" i="31"/>
  <c r="J66" i="31"/>
  <c r="C67" i="31"/>
  <c r="D67" i="31"/>
  <c r="E67" i="31"/>
  <c r="F67" i="31"/>
  <c r="G67" i="31"/>
  <c r="H67" i="31"/>
  <c r="I67" i="31"/>
  <c r="J67" i="31"/>
  <c r="C68" i="31"/>
  <c r="D68" i="31"/>
  <c r="E68" i="31"/>
  <c r="F68" i="31"/>
  <c r="G68" i="31"/>
  <c r="H68" i="31"/>
  <c r="I68" i="31"/>
  <c r="J68" i="31"/>
  <c r="C69" i="31"/>
  <c r="D69" i="31"/>
  <c r="E69" i="31"/>
  <c r="F69" i="31"/>
  <c r="G69" i="31"/>
  <c r="H69" i="31"/>
  <c r="I69" i="31"/>
  <c r="J69" i="31"/>
  <c r="C70" i="31"/>
  <c r="D70" i="31"/>
  <c r="E70" i="31"/>
  <c r="F70" i="31"/>
  <c r="G70" i="31"/>
  <c r="H70" i="31"/>
  <c r="I70" i="31"/>
  <c r="J70" i="31"/>
  <c r="C71" i="31"/>
  <c r="D71" i="31"/>
  <c r="E71" i="31"/>
  <c r="F71" i="31"/>
  <c r="G71" i="31"/>
  <c r="H71" i="31"/>
  <c r="I71" i="31"/>
  <c r="J71" i="31"/>
  <c r="C72" i="31"/>
  <c r="D72" i="31"/>
  <c r="E72" i="31"/>
  <c r="F72" i="31"/>
  <c r="G72" i="31"/>
  <c r="H72" i="31"/>
  <c r="I72" i="31"/>
  <c r="J72" i="31"/>
  <c r="C73" i="31"/>
  <c r="D73" i="31"/>
  <c r="E73" i="31"/>
  <c r="F73" i="31"/>
  <c r="G73" i="31"/>
  <c r="H73" i="31"/>
  <c r="I73" i="31"/>
  <c r="J73" i="31"/>
  <c r="C74" i="31"/>
  <c r="D74" i="31"/>
  <c r="E74" i="31"/>
  <c r="F74" i="31"/>
  <c r="G74" i="31"/>
  <c r="H74" i="31"/>
  <c r="I74" i="31"/>
  <c r="J74" i="31"/>
  <c r="C75" i="31"/>
  <c r="D75" i="31"/>
  <c r="E75" i="31"/>
  <c r="F75" i="31"/>
  <c r="G75" i="31"/>
  <c r="H75" i="31"/>
  <c r="I75" i="31"/>
  <c r="J75" i="31"/>
  <c r="C76" i="31"/>
  <c r="D76" i="31"/>
  <c r="E76" i="31"/>
  <c r="F76" i="31"/>
  <c r="G76" i="31"/>
  <c r="H76" i="31"/>
  <c r="I76" i="31"/>
  <c r="J76" i="31"/>
  <c r="C77" i="31"/>
  <c r="D77" i="31"/>
  <c r="E77" i="31"/>
  <c r="F77" i="31"/>
  <c r="G77" i="31"/>
  <c r="H77" i="31"/>
  <c r="I77" i="31"/>
  <c r="J77" i="31"/>
  <c r="C78" i="31"/>
  <c r="D78" i="31"/>
  <c r="E78" i="31"/>
  <c r="F78" i="31"/>
  <c r="G78" i="31"/>
  <c r="H78" i="31"/>
  <c r="I78" i="31"/>
  <c r="J78" i="31"/>
  <c r="C79" i="31"/>
  <c r="D79" i="31"/>
  <c r="E79" i="31"/>
  <c r="F79" i="31"/>
  <c r="G79" i="31"/>
  <c r="H79" i="31"/>
  <c r="I79" i="31"/>
  <c r="J79" i="31"/>
  <c r="C80" i="31"/>
  <c r="D80" i="31"/>
  <c r="E80" i="31"/>
  <c r="F80" i="31"/>
  <c r="G80" i="31"/>
  <c r="H80" i="31"/>
  <c r="I80" i="31"/>
  <c r="J80" i="31"/>
  <c r="C81" i="31"/>
  <c r="D81" i="31"/>
  <c r="E81" i="31"/>
  <c r="F81" i="31"/>
  <c r="G81" i="31"/>
  <c r="H81" i="31"/>
  <c r="I81" i="31"/>
  <c r="J81" i="31"/>
  <c r="C82" i="31"/>
  <c r="D82" i="31"/>
  <c r="E82" i="31"/>
  <c r="F82" i="31"/>
  <c r="G82" i="31"/>
  <c r="H82" i="31"/>
  <c r="I82" i="31"/>
  <c r="J82" i="31"/>
  <c r="C83" i="31"/>
  <c r="D83" i="31"/>
  <c r="E83" i="31"/>
  <c r="F83" i="31"/>
  <c r="G83" i="31"/>
  <c r="H83" i="31"/>
  <c r="I83" i="31"/>
  <c r="J83" i="31"/>
  <c r="C84" i="31"/>
  <c r="D84" i="31"/>
  <c r="E84" i="31"/>
  <c r="F84" i="31"/>
  <c r="G84" i="31"/>
  <c r="H84" i="31"/>
  <c r="I84" i="31"/>
  <c r="J84" i="31"/>
  <c r="C85" i="31"/>
  <c r="D85" i="31"/>
  <c r="E85" i="31"/>
  <c r="F85" i="31"/>
  <c r="G85" i="31"/>
  <c r="H85" i="31"/>
  <c r="I85" i="31"/>
  <c r="J85" i="31"/>
  <c r="C86" i="31"/>
  <c r="D86" i="31"/>
  <c r="E86" i="31"/>
  <c r="F86" i="31"/>
  <c r="G86" i="31"/>
  <c r="H86" i="31"/>
  <c r="I86" i="31"/>
  <c r="J86" i="31"/>
  <c r="C87" i="31"/>
  <c r="D87" i="31"/>
  <c r="E87" i="31"/>
  <c r="F87" i="31"/>
  <c r="G87" i="31"/>
  <c r="H87" i="31"/>
  <c r="I87" i="31"/>
  <c r="J87" i="31"/>
  <c r="C88" i="31"/>
  <c r="D88" i="31"/>
  <c r="E88" i="31"/>
  <c r="F88" i="31"/>
  <c r="G88" i="31"/>
  <c r="H88" i="31"/>
  <c r="I88" i="31"/>
  <c r="J88" i="31"/>
  <c r="C89" i="31"/>
  <c r="D89" i="31"/>
  <c r="E89" i="31"/>
  <c r="F89" i="31"/>
  <c r="G89" i="31"/>
  <c r="H89" i="31"/>
  <c r="I89" i="31"/>
  <c r="J89" i="31"/>
  <c r="C90" i="31"/>
  <c r="D90" i="31"/>
  <c r="E90" i="31"/>
  <c r="F90" i="31"/>
  <c r="G90" i="31"/>
  <c r="H90" i="31"/>
  <c r="I90" i="31"/>
  <c r="J90" i="31"/>
  <c r="C91" i="31"/>
  <c r="D91" i="31"/>
  <c r="E91" i="31"/>
  <c r="F91" i="31"/>
  <c r="G91" i="31"/>
  <c r="H91" i="31"/>
  <c r="I91" i="31"/>
  <c r="J91" i="31"/>
  <c r="C92" i="31"/>
  <c r="D92" i="31"/>
  <c r="E92" i="31"/>
  <c r="F92" i="31"/>
  <c r="G92" i="31"/>
  <c r="H92" i="31"/>
  <c r="I92" i="31"/>
  <c r="J92" i="31"/>
  <c r="C93" i="31"/>
  <c r="D93" i="31"/>
  <c r="E93" i="31"/>
  <c r="F93" i="31"/>
  <c r="G93" i="31"/>
  <c r="H93" i="31"/>
  <c r="I93" i="31"/>
  <c r="J93" i="31"/>
  <c r="C94" i="31"/>
  <c r="D94" i="31"/>
  <c r="E94" i="31"/>
  <c r="F94" i="31"/>
  <c r="G94" i="31"/>
  <c r="H94" i="31"/>
  <c r="I94" i="31"/>
  <c r="J94" i="31"/>
  <c r="C95" i="31"/>
  <c r="D95" i="31"/>
  <c r="E95" i="31"/>
  <c r="F95" i="31"/>
  <c r="G95" i="31"/>
  <c r="H95" i="31"/>
  <c r="I95" i="31"/>
  <c r="J95" i="31"/>
  <c r="C96" i="31"/>
  <c r="D96" i="31"/>
  <c r="E96" i="31"/>
  <c r="F96" i="31"/>
  <c r="G96" i="31"/>
  <c r="H96" i="31"/>
  <c r="I96" i="31"/>
  <c r="J96" i="31"/>
  <c r="C97" i="31"/>
  <c r="D97" i="31"/>
  <c r="E97" i="31"/>
  <c r="F97" i="31"/>
  <c r="G97" i="31"/>
  <c r="H97" i="31"/>
  <c r="I97" i="31"/>
  <c r="J97" i="31"/>
  <c r="C98" i="31"/>
  <c r="D98" i="31"/>
  <c r="E98" i="31"/>
  <c r="F98" i="31"/>
  <c r="G98" i="31"/>
  <c r="H98" i="31"/>
  <c r="I98" i="31"/>
  <c r="J98" i="31"/>
  <c r="C99" i="31"/>
  <c r="D99" i="31"/>
  <c r="E99" i="31"/>
  <c r="F99" i="31"/>
  <c r="G99" i="31"/>
  <c r="H99" i="31"/>
  <c r="I99" i="31"/>
  <c r="J99" i="31"/>
  <c r="C100" i="31"/>
  <c r="D100" i="31"/>
  <c r="E100" i="31"/>
  <c r="F100" i="31"/>
  <c r="G100" i="31"/>
  <c r="H100" i="31"/>
  <c r="I100" i="31"/>
  <c r="J100" i="31"/>
  <c r="C101" i="31"/>
  <c r="D101" i="31"/>
  <c r="E101" i="31"/>
  <c r="F101" i="31"/>
  <c r="G101" i="31"/>
  <c r="H101" i="31"/>
  <c r="I101" i="31"/>
  <c r="J101" i="31"/>
  <c r="C102" i="31"/>
  <c r="D102" i="31"/>
  <c r="E102" i="31"/>
  <c r="F102" i="31"/>
  <c r="G102" i="31"/>
  <c r="H102" i="31"/>
  <c r="I102" i="31"/>
  <c r="J102" i="31"/>
  <c r="C103" i="31"/>
  <c r="D103" i="31"/>
  <c r="E103" i="31"/>
  <c r="F103" i="31"/>
  <c r="G103" i="31"/>
  <c r="H103" i="31"/>
  <c r="I103" i="31"/>
  <c r="J103" i="31"/>
  <c r="C104" i="31"/>
  <c r="D104" i="31"/>
  <c r="E104" i="31"/>
  <c r="F104" i="31"/>
  <c r="G104" i="31"/>
  <c r="H104" i="31"/>
  <c r="I104" i="31"/>
  <c r="J104" i="31"/>
  <c r="C105" i="31"/>
  <c r="D105" i="31"/>
  <c r="E105" i="31"/>
  <c r="F105" i="31"/>
  <c r="G105" i="31"/>
  <c r="H105" i="31"/>
  <c r="I105" i="31"/>
  <c r="J105" i="31"/>
  <c r="C106" i="31"/>
  <c r="D106" i="31"/>
  <c r="E106" i="31"/>
  <c r="F106" i="31"/>
  <c r="G106" i="31"/>
  <c r="H106" i="31"/>
  <c r="I106" i="31"/>
  <c r="J106" i="31"/>
  <c r="C107" i="31"/>
  <c r="D107" i="31"/>
  <c r="E107" i="31"/>
  <c r="F107" i="31"/>
  <c r="G107" i="31"/>
  <c r="H107" i="31"/>
  <c r="I107" i="31"/>
  <c r="J107" i="31"/>
  <c r="C108" i="31"/>
  <c r="D108" i="31"/>
  <c r="E108" i="31"/>
  <c r="F108" i="31"/>
  <c r="G108" i="31"/>
  <c r="H108" i="31"/>
  <c r="I108" i="31"/>
  <c r="J108" i="31"/>
  <c r="C109" i="31"/>
  <c r="D109" i="31"/>
  <c r="E109" i="31"/>
  <c r="F109" i="31"/>
  <c r="G109" i="31"/>
  <c r="H109" i="31"/>
  <c r="I109" i="31"/>
  <c r="J109" i="31"/>
  <c r="C110" i="31"/>
  <c r="D110" i="31"/>
  <c r="E110" i="31"/>
  <c r="F110" i="31"/>
  <c r="G110" i="31"/>
  <c r="H110" i="31"/>
  <c r="I110" i="31"/>
  <c r="J110" i="31"/>
  <c r="C111" i="31"/>
  <c r="D111" i="31"/>
  <c r="E111" i="31"/>
  <c r="F111" i="31"/>
  <c r="G111" i="31"/>
  <c r="H111" i="31"/>
  <c r="I111" i="31"/>
  <c r="J111" i="31"/>
  <c r="C112" i="31"/>
  <c r="D112" i="31"/>
  <c r="E112" i="31"/>
  <c r="F112" i="31"/>
  <c r="G112" i="31"/>
  <c r="H112" i="31"/>
  <c r="I112" i="31"/>
  <c r="J112" i="31"/>
  <c r="C113" i="31"/>
  <c r="D113" i="31"/>
  <c r="E113" i="31"/>
  <c r="F113" i="31"/>
  <c r="G113" i="31"/>
  <c r="H113" i="31"/>
  <c r="I113" i="31"/>
  <c r="J113" i="31"/>
  <c r="C114" i="31"/>
  <c r="D114" i="31"/>
  <c r="E114" i="31"/>
  <c r="F114" i="31"/>
  <c r="G114" i="31"/>
  <c r="H114" i="31"/>
  <c r="I114" i="31"/>
  <c r="J114" i="31"/>
  <c r="C115" i="31"/>
  <c r="D115" i="31"/>
  <c r="E115" i="31"/>
  <c r="F115" i="31"/>
  <c r="G115" i="31"/>
  <c r="H115" i="31"/>
  <c r="I115" i="31"/>
  <c r="J115" i="31"/>
  <c r="C116" i="31"/>
  <c r="D116" i="31"/>
  <c r="E116" i="31"/>
  <c r="F116" i="31"/>
  <c r="G116" i="31"/>
  <c r="H116" i="31"/>
  <c r="I116" i="31"/>
  <c r="J116" i="31"/>
  <c r="C117" i="31"/>
  <c r="D117" i="31"/>
  <c r="E117" i="31"/>
  <c r="F117" i="31"/>
  <c r="G117" i="31"/>
  <c r="H117" i="31"/>
  <c r="I117" i="31"/>
  <c r="J117" i="31"/>
  <c r="C118" i="31"/>
  <c r="D118" i="31"/>
  <c r="E118" i="31"/>
  <c r="F118" i="31"/>
  <c r="G118" i="31"/>
  <c r="H118" i="31"/>
  <c r="I118" i="31"/>
  <c r="J118" i="31"/>
  <c r="C119" i="31"/>
  <c r="D119" i="31"/>
  <c r="E119" i="31"/>
  <c r="F119" i="31"/>
  <c r="G119" i="31"/>
  <c r="H119" i="31"/>
  <c r="I119" i="31"/>
  <c r="J119" i="31"/>
  <c r="C120" i="31"/>
  <c r="D120" i="31"/>
  <c r="E120" i="31"/>
  <c r="F120" i="31"/>
  <c r="G120" i="31"/>
  <c r="H120" i="31"/>
  <c r="I120" i="31"/>
  <c r="J120" i="31"/>
  <c r="C121" i="31"/>
  <c r="D121" i="31"/>
  <c r="E121" i="31"/>
  <c r="F121" i="31"/>
  <c r="G121" i="31"/>
  <c r="H121" i="31"/>
  <c r="I121" i="31"/>
  <c r="J121" i="31"/>
  <c r="C122" i="31"/>
  <c r="D122" i="31"/>
  <c r="E122" i="31"/>
  <c r="F122" i="31"/>
  <c r="G122" i="31"/>
  <c r="H122" i="31"/>
  <c r="I122" i="31"/>
  <c r="J122" i="31"/>
  <c r="C123" i="31"/>
  <c r="D123" i="31"/>
  <c r="E123" i="31"/>
  <c r="F123" i="31"/>
  <c r="G123" i="31"/>
  <c r="H123" i="31"/>
  <c r="I123" i="31"/>
  <c r="J123" i="31"/>
  <c r="C124" i="31"/>
  <c r="D124" i="31"/>
  <c r="E124" i="31"/>
  <c r="F124" i="31"/>
  <c r="G124" i="31"/>
  <c r="H124" i="31"/>
  <c r="I124" i="31"/>
  <c r="J124" i="31"/>
  <c r="C125" i="31"/>
  <c r="D125" i="31"/>
  <c r="E125" i="31"/>
  <c r="F125" i="31"/>
  <c r="G125" i="31"/>
  <c r="H125" i="31"/>
  <c r="I125" i="31"/>
  <c r="J125" i="31"/>
  <c r="C126" i="31"/>
  <c r="D126" i="31"/>
  <c r="E126" i="31"/>
  <c r="F126" i="31"/>
  <c r="G126" i="31"/>
  <c r="H126" i="31"/>
  <c r="I126" i="31"/>
  <c r="J126" i="31"/>
  <c r="C127" i="31"/>
  <c r="D127" i="31"/>
  <c r="E127" i="31"/>
  <c r="F127" i="31"/>
  <c r="G127" i="31"/>
  <c r="H127" i="31"/>
  <c r="I127" i="31"/>
  <c r="J127" i="31"/>
  <c r="C128" i="31"/>
  <c r="D128" i="31"/>
  <c r="E128" i="31"/>
  <c r="F128" i="31"/>
  <c r="G128" i="31"/>
  <c r="H128" i="31"/>
  <c r="I128" i="31"/>
  <c r="J128" i="31"/>
  <c r="C129" i="31"/>
  <c r="D129" i="31"/>
  <c r="E129" i="31"/>
  <c r="F129" i="31"/>
  <c r="G129" i="31"/>
  <c r="H129" i="31"/>
  <c r="I129" i="31"/>
  <c r="J129" i="31"/>
  <c r="C130" i="31"/>
  <c r="D130" i="31"/>
  <c r="E130" i="31"/>
  <c r="F130" i="31"/>
  <c r="G130" i="31"/>
  <c r="H130" i="31"/>
  <c r="I130" i="31"/>
  <c r="J130" i="31"/>
  <c r="C131" i="31"/>
  <c r="D131" i="31"/>
  <c r="E131" i="31"/>
  <c r="F131" i="31"/>
  <c r="G131" i="31"/>
  <c r="H131" i="31"/>
  <c r="I131" i="31"/>
  <c r="J131" i="31"/>
  <c r="C132" i="31"/>
  <c r="D132" i="31"/>
  <c r="E132" i="31"/>
  <c r="F132" i="31"/>
  <c r="G132" i="31"/>
  <c r="H132" i="31"/>
  <c r="I132" i="31"/>
  <c r="J132" i="31"/>
  <c r="C133" i="31"/>
  <c r="D133" i="31"/>
  <c r="E133" i="31"/>
  <c r="F133" i="31"/>
  <c r="G133" i="31"/>
  <c r="H133" i="31"/>
  <c r="I133" i="31"/>
  <c r="J133" i="31"/>
  <c r="C134" i="31"/>
  <c r="D134" i="31"/>
  <c r="E134" i="31"/>
  <c r="F134" i="31"/>
  <c r="G134" i="31"/>
  <c r="H134" i="31"/>
  <c r="I134" i="31"/>
  <c r="J134" i="31"/>
  <c r="C135" i="31"/>
  <c r="D135" i="31"/>
  <c r="E135" i="31"/>
  <c r="F135" i="31"/>
  <c r="G135" i="31"/>
  <c r="H135" i="31"/>
  <c r="I135" i="31"/>
  <c r="J135" i="31"/>
  <c r="C136" i="31"/>
  <c r="D136" i="31"/>
  <c r="E136" i="31"/>
  <c r="F136" i="31"/>
  <c r="G136" i="31"/>
  <c r="H136" i="31"/>
  <c r="I136" i="31"/>
  <c r="J136" i="31"/>
  <c r="C137" i="31"/>
  <c r="D137" i="31"/>
  <c r="E137" i="31"/>
  <c r="F137" i="31"/>
  <c r="G137" i="31"/>
  <c r="H137" i="31"/>
  <c r="I137" i="31"/>
  <c r="J137" i="31"/>
  <c r="C138" i="31"/>
  <c r="D138" i="31"/>
  <c r="E138" i="31"/>
  <c r="F138" i="31"/>
  <c r="G138" i="31"/>
  <c r="H138" i="31"/>
  <c r="I138" i="31"/>
  <c r="J138" i="31"/>
  <c r="C139" i="31"/>
  <c r="D139" i="31"/>
  <c r="E139" i="31"/>
  <c r="F139" i="31"/>
  <c r="G139" i="31"/>
  <c r="H139" i="31"/>
  <c r="I139" i="31"/>
  <c r="J139" i="31"/>
  <c r="C140" i="31"/>
  <c r="D140" i="31"/>
  <c r="E140" i="31"/>
  <c r="F140" i="31"/>
  <c r="G140" i="31"/>
  <c r="H140" i="31"/>
  <c r="I140" i="31"/>
  <c r="J140" i="31"/>
  <c r="C141" i="31"/>
  <c r="D141" i="31"/>
  <c r="E141" i="31"/>
  <c r="F141" i="31"/>
  <c r="G141" i="31"/>
  <c r="H141" i="31"/>
  <c r="I141" i="31"/>
  <c r="J141" i="31"/>
  <c r="C142" i="31"/>
  <c r="D142" i="31"/>
  <c r="E142" i="31"/>
  <c r="F142" i="31"/>
  <c r="G142" i="31"/>
  <c r="H142" i="31"/>
  <c r="I142" i="31"/>
  <c r="J142" i="31"/>
  <c r="C143" i="31"/>
  <c r="D143" i="31"/>
  <c r="E143" i="31"/>
  <c r="F143" i="31"/>
  <c r="G143" i="31"/>
  <c r="H143" i="31"/>
  <c r="I143" i="31"/>
  <c r="J143" i="31"/>
  <c r="C144" i="31"/>
  <c r="D144" i="31"/>
  <c r="E144" i="31"/>
  <c r="F144" i="31"/>
  <c r="G144" i="31"/>
  <c r="H144" i="31"/>
  <c r="I144" i="31"/>
  <c r="J144" i="31"/>
  <c r="C145" i="31"/>
  <c r="D145" i="31"/>
  <c r="E145" i="31"/>
  <c r="F145" i="31"/>
  <c r="G145" i="31"/>
  <c r="H145" i="31"/>
  <c r="I145" i="31"/>
  <c r="J145" i="31"/>
  <c r="C146" i="31"/>
  <c r="D146" i="31"/>
  <c r="E146" i="31"/>
  <c r="F146" i="31"/>
  <c r="G146" i="31"/>
  <c r="H146" i="31"/>
  <c r="I146" i="31"/>
  <c r="J146" i="31"/>
  <c r="C147" i="31"/>
  <c r="D147" i="31"/>
  <c r="E147" i="31"/>
  <c r="F147" i="31"/>
  <c r="G147" i="31"/>
  <c r="H147" i="31"/>
  <c r="I147" i="31"/>
  <c r="J147" i="31"/>
  <c r="C148" i="31"/>
  <c r="D148" i="31"/>
  <c r="E148" i="31"/>
  <c r="F148" i="31"/>
  <c r="G148" i="31"/>
  <c r="H148" i="31"/>
  <c r="I148" i="31"/>
  <c r="J148" i="31"/>
  <c r="C149" i="31"/>
  <c r="D149" i="31"/>
  <c r="E149" i="31"/>
  <c r="F149" i="31"/>
  <c r="G149" i="31"/>
  <c r="H149" i="31"/>
  <c r="I149" i="31"/>
  <c r="J149" i="31"/>
  <c r="C150" i="31"/>
  <c r="D150" i="31"/>
  <c r="E150" i="31"/>
  <c r="F150" i="31"/>
  <c r="G150" i="31"/>
  <c r="H150" i="31"/>
  <c r="I150" i="31"/>
  <c r="J150" i="31"/>
  <c r="C151" i="31"/>
  <c r="D151" i="31"/>
  <c r="E151" i="31"/>
  <c r="F151" i="31"/>
  <c r="G151" i="31"/>
  <c r="H151" i="31"/>
  <c r="I151" i="31"/>
  <c r="J151" i="31"/>
  <c r="C152" i="31"/>
  <c r="D152" i="31"/>
  <c r="E152" i="31"/>
  <c r="F152" i="31"/>
  <c r="G152" i="31"/>
  <c r="H152" i="31"/>
  <c r="I152" i="31"/>
  <c r="J152" i="31"/>
  <c r="C153" i="31"/>
  <c r="D153" i="31"/>
  <c r="E153" i="31"/>
  <c r="F153" i="31"/>
  <c r="G153" i="31"/>
  <c r="H153" i="31"/>
  <c r="I153" i="31"/>
  <c r="J153" i="31"/>
  <c r="C154" i="31"/>
  <c r="D154" i="31"/>
  <c r="E154" i="31"/>
  <c r="F154" i="31"/>
  <c r="G154" i="31"/>
  <c r="H154" i="31"/>
  <c r="I154" i="31"/>
  <c r="J154" i="31"/>
  <c r="C155" i="31"/>
  <c r="D155" i="31"/>
  <c r="E155" i="31"/>
  <c r="F155" i="31"/>
  <c r="G155" i="31"/>
  <c r="H155" i="31"/>
  <c r="I155" i="31"/>
  <c r="J155" i="31"/>
  <c r="C156" i="31"/>
  <c r="D156" i="31"/>
  <c r="E156" i="31"/>
  <c r="F156" i="31"/>
  <c r="G156" i="31"/>
  <c r="H156" i="31"/>
  <c r="I156" i="31"/>
  <c r="J156" i="31"/>
  <c r="C157" i="31"/>
  <c r="D157" i="31"/>
  <c r="E157" i="31"/>
  <c r="F157" i="31"/>
  <c r="G157" i="31"/>
  <c r="H157" i="31"/>
  <c r="I157" i="31"/>
  <c r="J157" i="31"/>
  <c r="C158" i="31"/>
  <c r="D158" i="31"/>
  <c r="E158" i="31"/>
  <c r="F158" i="31"/>
  <c r="G158" i="31"/>
  <c r="H158" i="31"/>
  <c r="I158" i="31"/>
  <c r="J158" i="31"/>
  <c r="C159" i="31"/>
  <c r="D159" i="31"/>
  <c r="E159" i="31"/>
  <c r="F159" i="31"/>
  <c r="G159" i="31"/>
  <c r="H159" i="31"/>
  <c r="I159" i="31"/>
  <c r="J159" i="31"/>
  <c r="C160" i="31"/>
  <c r="D160" i="31"/>
  <c r="E160" i="31"/>
  <c r="F160" i="31"/>
  <c r="G160" i="31"/>
  <c r="H160" i="31"/>
  <c r="I160" i="31"/>
  <c r="J160" i="31"/>
  <c r="C161" i="31"/>
  <c r="D161" i="31"/>
  <c r="E161" i="31"/>
  <c r="F161" i="31"/>
  <c r="G161" i="31"/>
  <c r="H161" i="31"/>
  <c r="I161" i="31"/>
  <c r="J161" i="31"/>
  <c r="C162" i="31"/>
  <c r="D162" i="31"/>
  <c r="E162" i="31"/>
  <c r="F162" i="31"/>
  <c r="G162" i="31"/>
  <c r="H162" i="31"/>
  <c r="I162" i="31"/>
  <c r="J162" i="31"/>
  <c r="C163" i="31"/>
  <c r="D163" i="31"/>
  <c r="E163" i="31"/>
  <c r="F163" i="31"/>
  <c r="G163" i="31"/>
  <c r="H163" i="31"/>
  <c r="I163" i="31"/>
  <c r="J163" i="31"/>
  <c r="C164" i="31"/>
  <c r="D164" i="31"/>
  <c r="E164" i="31"/>
  <c r="F164" i="31"/>
  <c r="G164" i="31"/>
  <c r="H164" i="31"/>
  <c r="I164" i="31"/>
  <c r="J164" i="31"/>
  <c r="C165" i="31"/>
  <c r="D165" i="31"/>
  <c r="E165" i="31"/>
  <c r="F165" i="31"/>
  <c r="G165" i="31"/>
  <c r="H165" i="31"/>
  <c r="I165" i="31"/>
  <c r="J165" i="31"/>
  <c r="C166" i="31"/>
  <c r="D166" i="31"/>
  <c r="E166" i="31"/>
  <c r="F166" i="31"/>
  <c r="G166" i="31"/>
  <c r="H166" i="31"/>
  <c r="I166" i="31"/>
  <c r="J166" i="31"/>
  <c r="C167" i="31"/>
  <c r="D167" i="31"/>
  <c r="E167" i="31"/>
  <c r="F167" i="31"/>
  <c r="G167" i="31"/>
  <c r="H167" i="31"/>
  <c r="I167" i="31"/>
  <c r="J167" i="31"/>
  <c r="C168" i="31"/>
  <c r="D168" i="31"/>
  <c r="E168" i="31"/>
  <c r="F168" i="31"/>
  <c r="G168" i="31"/>
  <c r="H168" i="31"/>
  <c r="I168" i="31"/>
  <c r="J168" i="31"/>
  <c r="C169" i="31"/>
  <c r="D169" i="31"/>
  <c r="E169" i="31"/>
  <c r="F169" i="31"/>
  <c r="G169" i="31"/>
  <c r="H169" i="31"/>
  <c r="I169" i="31"/>
  <c r="J169" i="31"/>
  <c r="C170" i="31"/>
  <c r="D170" i="31"/>
  <c r="E170" i="31"/>
  <c r="F170" i="31"/>
  <c r="G170" i="31"/>
  <c r="H170" i="31"/>
  <c r="I170" i="31"/>
  <c r="J170" i="31"/>
  <c r="C171" i="31"/>
  <c r="D171" i="31"/>
  <c r="E171" i="31"/>
  <c r="F171" i="31"/>
  <c r="G171" i="31"/>
  <c r="H171" i="31"/>
  <c r="I171" i="31"/>
  <c r="J171" i="31"/>
  <c r="C172" i="31"/>
  <c r="D172" i="31"/>
  <c r="E172" i="31"/>
  <c r="F172" i="31"/>
  <c r="G172" i="31"/>
  <c r="H172" i="31"/>
  <c r="I172" i="31"/>
  <c r="J172" i="31"/>
  <c r="C173" i="31"/>
  <c r="D173" i="31"/>
  <c r="E173" i="31"/>
  <c r="F173" i="31"/>
  <c r="G173" i="31"/>
  <c r="H173" i="31"/>
  <c r="I173" i="31"/>
  <c r="J173" i="31"/>
  <c r="C174" i="31"/>
  <c r="D174" i="31"/>
  <c r="E174" i="31"/>
  <c r="F174" i="31"/>
  <c r="G174" i="31"/>
  <c r="H174" i="31"/>
  <c r="I174" i="31"/>
  <c r="J174" i="31"/>
  <c r="C175" i="31"/>
  <c r="D175" i="31"/>
  <c r="E175" i="31"/>
  <c r="F175" i="31"/>
  <c r="G175" i="31"/>
  <c r="H175" i="31"/>
  <c r="I175" i="31"/>
  <c r="J175" i="31"/>
  <c r="C176" i="31"/>
  <c r="D176" i="31"/>
  <c r="E176" i="31"/>
  <c r="F176" i="31"/>
  <c r="G176" i="31"/>
  <c r="H176" i="31"/>
  <c r="I176" i="31"/>
  <c r="J176" i="31"/>
  <c r="C177" i="31"/>
  <c r="D177" i="31"/>
  <c r="E177" i="31"/>
  <c r="F177" i="31"/>
  <c r="G177" i="31"/>
  <c r="H177" i="31"/>
  <c r="I177" i="31"/>
  <c r="J177" i="31"/>
  <c r="C178" i="31"/>
  <c r="D178" i="31"/>
  <c r="E178" i="31"/>
  <c r="F178" i="31"/>
  <c r="G178" i="31"/>
  <c r="H178" i="31"/>
  <c r="I178" i="31"/>
  <c r="J178" i="31"/>
  <c r="C179" i="31"/>
  <c r="D179" i="31"/>
  <c r="E179" i="31"/>
  <c r="F179" i="31"/>
  <c r="G179" i="31"/>
  <c r="H179" i="31"/>
  <c r="I179" i="31"/>
  <c r="J179" i="31"/>
  <c r="C180" i="31"/>
  <c r="D180" i="31"/>
  <c r="E180" i="31"/>
  <c r="F180" i="31"/>
  <c r="G180" i="31"/>
  <c r="H180" i="31"/>
  <c r="I180" i="31"/>
  <c r="J180" i="31"/>
  <c r="C181" i="31"/>
  <c r="D181" i="31"/>
  <c r="E181" i="31"/>
  <c r="F181" i="31"/>
  <c r="G181" i="31"/>
  <c r="H181" i="31"/>
  <c r="I181" i="31"/>
  <c r="J181" i="31"/>
  <c r="C182" i="31"/>
  <c r="D182" i="31"/>
  <c r="E182" i="31"/>
  <c r="F182" i="31"/>
  <c r="G182" i="31"/>
  <c r="H182" i="31"/>
  <c r="I182" i="31"/>
  <c r="J182" i="31"/>
  <c r="C183" i="31"/>
  <c r="D183" i="31"/>
  <c r="E183" i="31"/>
  <c r="F183" i="31"/>
  <c r="G183" i="31"/>
  <c r="H183" i="31"/>
  <c r="I183" i="31"/>
  <c r="J183" i="31"/>
  <c r="C184" i="31"/>
  <c r="D184" i="31"/>
  <c r="E184" i="31"/>
  <c r="F184" i="31"/>
  <c r="G184" i="31"/>
  <c r="H184" i="31"/>
  <c r="I184" i="31"/>
  <c r="J184" i="31"/>
  <c r="C185" i="31"/>
  <c r="D185" i="31"/>
  <c r="E185" i="31"/>
  <c r="F185" i="31"/>
  <c r="G185" i="31"/>
  <c r="H185" i="31"/>
  <c r="I185" i="31"/>
  <c r="J185" i="31"/>
  <c r="C186" i="31"/>
  <c r="D186" i="31"/>
  <c r="E186" i="31"/>
  <c r="F186" i="31"/>
  <c r="G186" i="31"/>
  <c r="H186" i="31"/>
  <c r="I186" i="31"/>
  <c r="J186" i="31"/>
  <c r="C187" i="31"/>
  <c r="D187" i="31"/>
  <c r="E187" i="31"/>
  <c r="F187" i="31"/>
  <c r="G187" i="31"/>
  <c r="H187" i="31"/>
  <c r="I187" i="31"/>
  <c r="J187" i="31"/>
  <c r="C188" i="31"/>
  <c r="D188" i="31"/>
  <c r="E188" i="31"/>
  <c r="F188" i="31"/>
  <c r="G188" i="31"/>
  <c r="H188" i="31"/>
  <c r="I188" i="31"/>
  <c r="J188" i="31"/>
  <c r="C189" i="31"/>
  <c r="D189" i="31"/>
  <c r="E189" i="31"/>
  <c r="F189" i="31"/>
  <c r="G189" i="31"/>
  <c r="H189" i="31"/>
  <c r="I189" i="31"/>
  <c r="J189" i="31"/>
  <c r="C190" i="31"/>
  <c r="D190" i="31"/>
  <c r="E190" i="31"/>
  <c r="F190" i="31"/>
  <c r="G190" i="31"/>
  <c r="H190" i="31"/>
  <c r="I190" i="31"/>
  <c r="J190" i="31"/>
  <c r="C191" i="31"/>
  <c r="D191" i="31"/>
  <c r="E191" i="31"/>
  <c r="F191" i="31"/>
  <c r="G191" i="31"/>
  <c r="H191" i="31"/>
  <c r="I191" i="31"/>
  <c r="J191" i="31"/>
  <c r="C192" i="31"/>
  <c r="D192" i="31"/>
  <c r="E192" i="31"/>
  <c r="F192" i="31"/>
  <c r="G192" i="31"/>
  <c r="H192" i="31"/>
  <c r="I192" i="31"/>
  <c r="J192" i="31"/>
  <c r="C193" i="31"/>
  <c r="D193" i="31"/>
  <c r="E193" i="31"/>
  <c r="F193" i="31"/>
  <c r="G193" i="31"/>
  <c r="H193" i="31"/>
  <c r="I193" i="31"/>
  <c r="J193" i="31"/>
  <c r="C194" i="31"/>
  <c r="D194" i="31"/>
  <c r="E194" i="31"/>
  <c r="F194" i="31"/>
  <c r="G194" i="31"/>
  <c r="H194" i="31"/>
  <c r="I194" i="31"/>
  <c r="J194" i="31"/>
  <c r="C195" i="31"/>
  <c r="D195" i="31"/>
  <c r="E195" i="31"/>
  <c r="F195" i="31"/>
  <c r="G195" i="31"/>
  <c r="H195" i="31"/>
  <c r="I195" i="31"/>
  <c r="J195" i="31"/>
  <c r="C196" i="31"/>
  <c r="D196" i="31"/>
  <c r="E196" i="31"/>
  <c r="F196" i="31"/>
  <c r="G196" i="31"/>
  <c r="H196" i="31"/>
  <c r="I196" i="31"/>
  <c r="J196" i="31"/>
  <c r="C197" i="31"/>
  <c r="D197" i="31"/>
  <c r="E197" i="31"/>
  <c r="F197" i="31"/>
  <c r="G197" i="31"/>
  <c r="H197" i="31"/>
  <c r="I197" i="31"/>
  <c r="J197" i="31"/>
  <c r="C198" i="31"/>
  <c r="D198" i="31"/>
  <c r="E198" i="31"/>
  <c r="F198" i="31"/>
  <c r="G198" i="31"/>
  <c r="H198" i="31"/>
  <c r="I198" i="31"/>
  <c r="J198" i="31"/>
  <c r="C199" i="31"/>
  <c r="D199" i="31"/>
  <c r="E199" i="31"/>
  <c r="F199" i="31"/>
  <c r="G199" i="31"/>
  <c r="H199" i="31"/>
  <c r="I199" i="31"/>
  <c r="J199" i="31"/>
  <c r="C200" i="31"/>
  <c r="D200" i="31"/>
  <c r="E200" i="31"/>
  <c r="F200" i="31"/>
  <c r="G200" i="31"/>
  <c r="H200" i="31"/>
  <c r="I200" i="31"/>
  <c r="J200" i="31"/>
  <c r="C201" i="31"/>
  <c r="D201" i="31"/>
  <c r="E201" i="31"/>
  <c r="F201" i="31"/>
  <c r="G201" i="31"/>
  <c r="H201" i="31"/>
  <c r="I201" i="31"/>
  <c r="J201" i="31"/>
  <c r="C202" i="31"/>
  <c r="D202" i="31"/>
  <c r="E202" i="31"/>
  <c r="F202" i="31"/>
  <c r="G202" i="31"/>
  <c r="H202" i="31"/>
  <c r="I202" i="31"/>
  <c r="J202" i="31"/>
  <c r="C203" i="31"/>
  <c r="D203" i="31"/>
  <c r="E203" i="31"/>
  <c r="F203" i="31"/>
  <c r="G203" i="31"/>
  <c r="H203" i="31"/>
  <c r="I203" i="31"/>
  <c r="J203" i="31"/>
  <c r="C204" i="31"/>
  <c r="D204" i="31"/>
  <c r="E204" i="31"/>
  <c r="F204" i="31"/>
  <c r="G204" i="31"/>
  <c r="H204" i="31"/>
  <c r="I204" i="31"/>
  <c r="J204" i="31"/>
  <c r="C205" i="31"/>
  <c r="D205" i="31"/>
  <c r="E205" i="31"/>
  <c r="F205" i="31"/>
  <c r="G205" i="31"/>
  <c r="H205" i="31"/>
  <c r="I205" i="31"/>
  <c r="J205" i="31"/>
  <c r="C206" i="31"/>
  <c r="D206" i="31"/>
  <c r="E206" i="31"/>
  <c r="F206" i="31"/>
  <c r="G206" i="31"/>
  <c r="H206" i="31"/>
  <c r="I206" i="31"/>
  <c r="J206" i="31"/>
  <c r="C207" i="31"/>
  <c r="D207" i="31"/>
  <c r="E207" i="31"/>
  <c r="F207" i="31"/>
  <c r="G207" i="31"/>
  <c r="H207" i="31"/>
  <c r="I207" i="31"/>
  <c r="J207" i="31"/>
  <c r="C208" i="31"/>
  <c r="D208" i="31"/>
  <c r="E208" i="31"/>
  <c r="F208" i="31"/>
  <c r="G208" i="31"/>
  <c r="H208" i="31"/>
  <c r="I208" i="31"/>
  <c r="J208" i="31"/>
  <c r="C209" i="31"/>
  <c r="D209" i="31"/>
  <c r="E209" i="31"/>
  <c r="F209" i="31"/>
  <c r="G209" i="31"/>
  <c r="H209" i="31"/>
  <c r="I209" i="31"/>
  <c r="J209" i="31"/>
  <c r="C210" i="31"/>
  <c r="D210" i="31"/>
  <c r="E210" i="31"/>
  <c r="F210" i="31"/>
  <c r="G210" i="31"/>
  <c r="H210" i="31"/>
  <c r="I210" i="31"/>
  <c r="J210" i="31"/>
  <c r="C211" i="31"/>
  <c r="D211" i="31"/>
  <c r="E211" i="31"/>
  <c r="F211" i="31"/>
  <c r="G211" i="31"/>
  <c r="H211" i="31"/>
  <c r="I211" i="31"/>
  <c r="J211" i="31"/>
  <c r="C212" i="31"/>
  <c r="D212" i="31"/>
  <c r="E212" i="31"/>
  <c r="F212" i="31"/>
  <c r="G212" i="31"/>
  <c r="H212" i="31"/>
  <c r="I212" i="31"/>
  <c r="J212" i="31"/>
  <c r="C213" i="31"/>
  <c r="D213" i="31"/>
  <c r="E213" i="31"/>
  <c r="F213" i="31"/>
  <c r="G213" i="31"/>
  <c r="H213" i="31"/>
  <c r="I213" i="31"/>
  <c r="J213" i="31"/>
  <c r="C214" i="31"/>
  <c r="D214" i="31"/>
  <c r="E214" i="31"/>
  <c r="F214" i="31"/>
  <c r="G214" i="31"/>
  <c r="H214" i="31"/>
  <c r="I214" i="31"/>
  <c r="J214" i="31"/>
  <c r="C215" i="31"/>
  <c r="D215" i="31"/>
  <c r="E215" i="31"/>
  <c r="F215" i="31"/>
  <c r="G215" i="31"/>
  <c r="H215" i="31"/>
  <c r="I215" i="31"/>
  <c r="J215" i="31"/>
  <c r="C216" i="31"/>
  <c r="D216" i="31"/>
  <c r="E216" i="31"/>
  <c r="F216" i="31"/>
  <c r="G216" i="31"/>
  <c r="H216" i="31"/>
  <c r="I216" i="31"/>
  <c r="J216" i="31"/>
  <c r="C217" i="31"/>
  <c r="D217" i="31"/>
  <c r="E217" i="31"/>
  <c r="F217" i="31"/>
  <c r="G217" i="31"/>
  <c r="H217" i="31"/>
  <c r="I217" i="31"/>
  <c r="J217" i="31"/>
  <c r="C218" i="31"/>
  <c r="D218" i="31"/>
  <c r="E218" i="31"/>
  <c r="F218" i="31"/>
  <c r="G218" i="31"/>
  <c r="H218" i="31"/>
  <c r="I218" i="31"/>
  <c r="J218" i="31"/>
  <c r="C219" i="31"/>
  <c r="D219" i="31"/>
  <c r="E219" i="31"/>
  <c r="F219" i="31"/>
  <c r="G219" i="31"/>
  <c r="H219" i="31"/>
  <c r="I219" i="31"/>
  <c r="J219" i="31"/>
  <c r="C220" i="31"/>
  <c r="D220" i="31"/>
  <c r="E220" i="31"/>
  <c r="F220" i="31"/>
  <c r="G220" i="31"/>
  <c r="H220" i="31"/>
  <c r="I220" i="31"/>
  <c r="J220" i="31"/>
  <c r="C221" i="31"/>
  <c r="D221" i="31"/>
  <c r="E221" i="31"/>
  <c r="F221" i="31"/>
  <c r="G221" i="31"/>
  <c r="H221" i="31"/>
  <c r="I221" i="31"/>
  <c r="J221" i="31"/>
  <c r="C222" i="31"/>
  <c r="D222" i="31"/>
  <c r="E222" i="31"/>
  <c r="F222" i="31"/>
  <c r="G222" i="31"/>
  <c r="H222" i="31"/>
  <c r="I222" i="31"/>
  <c r="J222" i="31"/>
  <c r="C223" i="31"/>
  <c r="D223" i="31"/>
  <c r="E223" i="31"/>
  <c r="F223" i="31"/>
  <c r="G223" i="31"/>
  <c r="H223" i="31"/>
  <c r="I223" i="31"/>
  <c r="J223" i="31"/>
  <c r="C224" i="31"/>
  <c r="D224" i="31"/>
  <c r="E224" i="31"/>
  <c r="F224" i="31"/>
  <c r="G224" i="31"/>
  <c r="H224" i="31"/>
  <c r="I224" i="31"/>
  <c r="J224" i="31"/>
  <c r="C225" i="31"/>
  <c r="D225" i="31"/>
  <c r="E225" i="31"/>
  <c r="F225" i="31"/>
  <c r="G225" i="31"/>
  <c r="H225" i="31"/>
  <c r="I225" i="31"/>
  <c r="J225" i="31"/>
  <c r="C226" i="31"/>
  <c r="D226" i="31"/>
  <c r="E226" i="31"/>
  <c r="F226" i="31"/>
  <c r="G226" i="31"/>
  <c r="H226" i="31"/>
  <c r="I226" i="31"/>
  <c r="J226" i="31"/>
  <c r="C227" i="31"/>
  <c r="D227" i="31"/>
  <c r="E227" i="31"/>
  <c r="F227" i="31"/>
  <c r="G227" i="31"/>
  <c r="H227" i="31"/>
  <c r="I227" i="31"/>
  <c r="J227" i="31"/>
  <c r="C228" i="31"/>
  <c r="D228" i="31"/>
  <c r="E228" i="31"/>
  <c r="F228" i="31"/>
  <c r="G228" i="31"/>
  <c r="H228" i="31"/>
  <c r="I228" i="31"/>
  <c r="J228" i="31"/>
  <c r="C229" i="31"/>
  <c r="D229" i="31"/>
  <c r="E229" i="31"/>
  <c r="F229" i="31"/>
  <c r="G229" i="31"/>
  <c r="H229" i="31"/>
  <c r="I229" i="31"/>
  <c r="J229" i="31"/>
  <c r="C230" i="31"/>
  <c r="D230" i="31"/>
  <c r="E230" i="31"/>
  <c r="F230" i="31"/>
  <c r="G230" i="31"/>
  <c r="H230" i="31"/>
  <c r="I230" i="31"/>
  <c r="J230" i="31"/>
  <c r="C231" i="31"/>
  <c r="D231" i="31"/>
  <c r="E231" i="31"/>
  <c r="F231" i="31"/>
  <c r="G231" i="31"/>
  <c r="H231" i="31"/>
  <c r="I231" i="31"/>
  <c r="J231" i="31"/>
  <c r="C232" i="31"/>
  <c r="D232" i="31"/>
  <c r="E232" i="31"/>
  <c r="F232" i="31"/>
  <c r="G232" i="31"/>
  <c r="H232" i="31"/>
  <c r="I232" i="31"/>
  <c r="J232" i="31"/>
  <c r="C233" i="31"/>
  <c r="D233" i="31"/>
  <c r="E233" i="31"/>
  <c r="F233" i="31"/>
  <c r="G233" i="31"/>
  <c r="H233" i="31"/>
  <c r="I233" i="31"/>
  <c r="J233" i="31"/>
  <c r="C234" i="31"/>
  <c r="D234" i="31"/>
  <c r="E234" i="31"/>
  <c r="F234" i="31"/>
  <c r="G234" i="31"/>
  <c r="H234" i="31"/>
  <c r="I234" i="31"/>
  <c r="J234" i="31"/>
  <c r="C235" i="31"/>
  <c r="D235" i="31"/>
  <c r="E235" i="31"/>
  <c r="F235" i="31"/>
  <c r="G235" i="31"/>
  <c r="H235" i="31"/>
  <c r="I235" i="31"/>
  <c r="J235" i="31"/>
  <c r="C236" i="31"/>
  <c r="D236" i="31"/>
  <c r="E236" i="31"/>
  <c r="F236" i="31"/>
  <c r="G236" i="31"/>
  <c r="H236" i="31"/>
  <c r="I236" i="31"/>
  <c r="J236" i="31"/>
  <c r="C237" i="31"/>
  <c r="D237" i="31"/>
  <c r="E237" i="31"/>
  <c r="F237" i="31"/>
  <c r="G237" i="31"/>
  <c r="H237" i="31"/>
  <c r="I237" i="31"/>
  <c r="J237" i="31"/>
  <c r="C238" i="31"/>
  <c r="D238" i="31"/>
  <c r="E238" i="31"/>
  <c r="F238" i="31"/>
  <c r="G238" i="31"/>
  <c r="H238" i="31"/>
  <c r="I238" i="31"/>
  <c r="J238" i="31"/>
  <c r="C239" i="31"/>
  <c r="D239" i="31"/>
  <c r="E239" i="31"/>
  <c r="F239" i="31"/>
  <c r="G239" i="31"/>
  <c r="H239" i="31"/>
  <c r="I239" i="31"/>
  <c r="J239" i="31"/>
  <c r="C240" i="31"/>
  <c r="D240" i="31"/>
  <c r="E240" i="31"/>
  <c r="F240" i="31"/>
  <c r="G240" i="31"/>
  <c r="H240" i="31"/>
  <c r="I240" i="31"/>
  <c r="J240" i="31"/>
  <c r="C241" i="31"/>
  <c r="D241" i="31"/>
  <c r="E241" i="31"/>
  <c r="F241" i="31"/>
  <c r="G241" i="31"/>
  <c r="H241" i="31"/>
  <c r="I241" i="31"/>
  <c r="J241" i="31"/>
  <c r="C242" i="31"/>
  <c r="D242" i="31"/>
  <c r="E242" i="31"/>
  <c r="F242" i="31"/>
  <c r="G242" i="31"/>
  <c r="H242" i="31"/>
  <c r="I242" i="31"/>
  <c r="J242" i="31"/>
  <c r="C243" i="31"/>
  <c r="D243" i="31"/>
  <c r="E243" i="31"/>
  <c r="F243" i="31"/>
  <c r="G243" i="31"/>
  <c r="H243" i="31"/>
  <c r="I243" i="31"/>
  <c r="J243" i="31"/>
  <c r="C244" i="31"/>
  <c r="D244" i="31"/>
  <c r="E244" i="31"/>
  <c r="F244" i="31"/>
  <c r="G244" i="31"/>
  <c r="H244" i="31"/>
  <c r="I244" i="31"/>
  <c r="J244" i="31"/>
  <c r="C245" i="31"/>
  <c r="D245" i="31"/>
  <c r="E245" i="31"/>
  <c r="F245" i="31"/>
  <c r="G245" i="31"/>
  <c r="H245" i="31"/>
  <c r="I245" i="31"/>
  <c r="J245" i="31"/>
  <c r="C246" i="31"/>
  <c r="D246" i="31"/>
  <c r="E246" i="31"/>
  <c r="F246" i="31"/>
  <c r="G246" i="31"/>
  <c r="H246" i="31"/>
  <c r="I246" i="31"/>
  <c r="J246" i="31"/>
  <c r="C247" i="31"/>
  <c r="D247" i="31"/>
  <c r="E247" i="31"/>
  <c r="F247" i="31"/>
  <c r="G247" i="31"/>
  <c r="H247" i="31"/>
  <c r="I247" i="31"/>
  <c r="J247" i="31"/>
  <c r="C248" i="31"/>
  <c r="D248" i="31"/>
  <c r="E248" i="31"/>
  <c r="F248" i="31"/>
  <c r="G248" i="31"/>
  <c r="H248" i="31"/>
  <c r="I248" i="31"/>
  <c r="J248" i="31"/>
  <c r="C249" i="31"/>
  <c r="D249" i="31"/>
  <c r="E249" i="31"/>
  <c r="F249" i="31"/>
  <c r="G249" i="31"/>
  <c r="H249" i="31"/>
  <c r="I249" i="31"/>
  <c r="J249" i="31"/>
  <c r="C250" i="31"/>
  <c r="D250" i="31"/>
  <c r="E250" i="31"/>
  <c r="F250" i="31"/>
  <c r="G250" i="31"/>
  <c r="H250" i="31"/>
  <c r="I250" i="31"/>
  <c r="J250" i="31"/>
  <c r="C251" i="31"/>
  <c r="D251" i="31"/>
  <c r="E251" i="31"/>
  <c r="F251" i="31"/>
  <c r="G251" i="31"/>
  <c r="H251" i="31"/>
  <c r="I251" i="31"/>
  <c r="J251" i="31"/>
  <c r="C252" i="31"/>
  <c r="D252" i="31"/>
  <c r="E252" i="31"/>
  <c r="F252" i="31"/>
  <c r="G252" i="31"/>
  <c r="H252" i="31"/>
  <c r="I252" i="31"/>
  <c r="J252" i="31"/>
  <c r="C253" i="31"/>
  <c r="D253" i="31"/>
  <c r="E253" i="31"/>
  <c r="F253" i="31"/>
  <c r="G253" i="31"/>
  <c r="H253" i="31"/>
  <c r="I253" i="31"/>
  <c r="J253" i="31"/>
  <c r="C254" i="31"/>
  <c r="D254" i="31"/>
  <c r="E254" i="31"/>
  <c r="F254" i="31"/>
  <c r="G254" i="31"/>
  <c r="H254" i="31"/>
  <c r="I254" i="31"/>
  <c r="J254" i="31"/>
  <c r="C255" i="31"/>
  <c r="D255" i="31"/>
  <c r="E255" i="31"/>
  <c r="F255" i="31"/>
  <c r="G255" i="31"/>
  <c r="H255" i="31"/>
  <c r="I255" i="31"/>
  <c r="J255" i="31"/>
  <c r="C256" i="31"/>
  <c r="D256" i="31"/>
  <c r="E256" i="31"/>
  <c r="F256" i="31"/>
  <c r="G256" i="31"/>
  <c r="H256" i="31"/>
  <c r="I256" i="31"/>
  <c r="J256" i="31"/>
  <c r="C257" i="31"/>
  <c r="D257" i="31"/>
  <c r="E257" i="31"/>
  <c r="F257" i="31"/>
  <c r="G257" i="31"/>
  <c r="H257" i="31"/>
  <c r="I257" i="31"/>
  <c r="J257" i="31"/>
  <c r="C258" i="31"/>
  <c r="D258" i="31"/>
  <c r="E258" i="31"/>
  <c r="F258" i="31"/>
  <c r="G258" i="31"/>
  <c r="H258" i="31"/>
  <c r="I258" i="31"/>
  <c r="J258" i="31"/>
  <c r="C259" i="31"/>
  <c r="D259" i="31"/>
  <c r="E259" i="31"/>
  <c r="F259" i="31"/>
  <c r="G259" i="31"/>
  <c r="H259" i="31"/>
  <c r="I259" i="31"/>
  <c r="J259" i="31"/>
  <c r="C260" i="31"/>
  <c r="D260" i="31"/>
  <c r="E260" i="31"/>
  <c r="F260" i="31"/>
  <c r="G260" i="31"/>
  <c r="H260" i="31"/>
  <c r="I260" i="31"/>
  <c r="J260" i="31"/>
  <c r="C261" i="31"/>
  <c r="D261" i="31"/>
  <c r="E261" i="31"/>
  <c r="F261" i="31"/>
  <c r="G261" i="31"/>
  <c r="H261" i="31"/>
  <c r="I261" i="31"/>
  <c r="J261" i="31"/>
  <c r="C262" i="31"/>
  <c r="D262" i="31"/>
  <c r="E262" i="31"/>
  <c r="F262" i="31"/>
  <c r="G262" i="31"/>
  <c r="H262" i="31"/>
  <c r="I262" i="31"/>
  <c r="J262" i="31"/>
  <c r="J8" i="31"/>
  <c r="H8" i="31"/>
  <c r="F8" i="31"/>
  <c r="D8" i="31"/>
  <c r="I8" i="31"/>
  <c r="G8" i="31"/>
  <c r="E8" i="31"/>
  <c r="C8" i="31"/>
  <c r="L4" i="31"/>
  <c r="K4" i="31"/>
  <c r="E2" i="39"/>
  <c r="B262" i="31" l="1"/>
  <c r="B242" i="31"/>
  <c r="B243" i="31"/>
  <c r="B244" i="31"/>
  <c r="B245" i="31"/>
  <c r="B246" i="31"/>
  <c r="B247" i="31"/>
  <c r="B248" i="31"/>
  <c r="B249" i="31"/>
  <c r="B250" i="31"/>
  <c r="B251" i="31"/>
  <c r="B252" i="31"/>
  <c r="B253" i="31"/>
  <c r="B254" i="31"/>
  <c r="B255" i="31"/>
  <c r="B256" i="31"/>
  <c r="B257" i="31"/>
  <c r="B258" i="31"/>
  <c r="B259" i="31"/>
  <c r="B260" i="31"/>
  <c r="B261" i="31"/>
  <c r="B220" i="31"/>
  <c r="B221" i="31"/>
  <c r="B222" i="31"/>
  <c r="B223" i="31"/>
  <c r="B224" i="31"/>
  <c r="B225" i="31"/>
  <c r="B226" i="31"/>
  <c r="B227" i="31"/>
  <c r="B228" i="31"/>
  <c r="B229" i="31"/>
  <c r="B230" i="31"/>
  <c r="B231" i="31"/>
  <c r="B232" i="31"/>
  <c r="B233" i="31"/>
  <c r="B234" i="31"/>
  <c r="B235" i="31"/>
  <c r="B236" i="31"/>
  <c r="B237" i="31"/>
  <c r="B238" i="31"/>
  <c r="B239" i="31"/>
  <c r="B240" i="31"/>
  <c r="B241" i="31"/>
  <c r="B150" i="31"/>
  <c r="B151" i="31"/>
  <c r="B152" i="31"/>
  <c r="B153" i="31"/>
  <c r="B154" i="31"/>
  <c r="B155" i="31"/>
  <c r="B156" i="31"/>
  <c r="B157" i="31"/>
  <c r="B158" i="31"/>
  <c r="B159" i="31"/>
  <c r="B160" i="31"/>
  <c r="B161" i="31"/>
  <c r="B162" i="31"/>
  <c r="B163" i="31"/>
  <c r="B164" i="31"/>
  <c r="B165" i="31"/>
  <c r="B166" i="31"/>
  <c r="B167" i="31"/>
  <c r="B168" i="31"/>
  <c r="B169" i="31"/>
  <c r="B170" i="31"/>
  <c r="B171" i="31"/>
  <c r="B172" i="31"/>
  <c r="B173" i="31"/>
  <c r="B174" i="31"/>
  <c r="B175" i="31"/>
  <c r="B176" i="31"/>
  <c r="B177" i="31"/>
  <c r="B178" i="31"/>
  <c r="B179" i="31"/>
  <c r="B180" i="31"/>
  <c r="B181" i="31"/>
  <c r="B182" i="31"/>
  <c r="B183" i="31"/>
  <c r="B184" i="31"/>
  <c r="B185" i="31"/>
  <c r="B186" i="31"/>
  <c r="B187" i="31"/>
  <c r="B188" i="31"/>
  <c r="B189" i="31"/>
  <c r="B190" i="31"/>
  <c r="B191" i="31"/>
  <c r="B192" i="31"/>
  <c r="B193" i="31"/>
  <c r="B194" i="31"/>
  <c r="B195" i="31"/>
  <c r="B196" i="31"/>
  <c r="B197" i="31"/>
  <c r="B198" i="31"/>
  <c r="B199" i="31"/>
  <c r="B200" i="31"/>
  <c r="B201" i="31"/>
  <c r="B202" i="31"/>
  <c r="B203" i="31"/>
  <c r="B204" i="31"/>
  <c r="B205" i="31"/>
  <c r="B206" i="31"/>
  <c r="B207" i="31"/>
  <c r="B208" i="31"/>
  <c r="B209" i="31"/>
  <c r="B210" i="31"/>
  <c r="B211" i="31"/>
  <c r="B212" i="31"/>
  <c r="B213" i="31"/>
  <c r="B214" i="31"/>
  <c r="B215" i="31"/>
  <c r="B216" i="31"/>
  <c r="B217" i="31"/>
  <c r="B218" i="31"/>
  <c r="B219" i="31"/>
  <c r="B105" i="31"/>
  <c r="B106" i="31"/>
  <c r="B107" i="31"/>
  <c r="B108" i="31"/>
  <c r="B109" i="31"/>
  <c r="B110" i="31"/>
  <c r="B111" i="31"/>
  <c r="B112" i="31"/>
  <c r="B113" i="31"/>
  <c r="B114" i="31"/>
  <c r="B115" i="31"/>
  <c r="B116" i="31"/>
  <c r="B117" i="31"/>
  <c r="B118" i="31"/>
  <c r="B119" i="31"/>
  <c r="B120" i="31"/>
  <c r="B121" i="31"/>
  <c r="B122" i="31"/>
  <c r="B123" i="31"/>
  <c r="B124" i="31"/>
  <c r="B125" i="31"/>
  <c r="B126" i="31"/>
  <c r="B127" i="31"/>
  <c r="B128" i="31"/>
  <c r="B129" i="31"/>
  <c r="B130" i="31"/>
  <c r="B131" i="31"/>
  <c r="B132" i="31"/>
  <c r="B133" i="31"/>
  <c r="B134" i="31"/>
  <c r="B135" i="31"/>
  <c r="B136" i="31"/>
  <c r="B137" i="31"/>
  <c r="B138" i="31"/>
  <c r="B139" i="31"/>
  <c r="B140" i="31"/>
  <c r="B141" i="31"/>
  <c r="B142" i="31"/>
  <c r="B143" i="31"/>
  <c r="B144" i="31"/>
  <c r="B145" i="31"/>
  <c r="B146" i="31"/>
  <c r="B147" i="31"/>
  <c r="B148" i="31"/>
  <c r="B149" i="31"/>
  <c r="B84" i="31"/>
  <c r="B85" i="31"/>
  <c r="B86" i="31"/>
  <c r="B87" i="31"/>
  <c r="B88" i="31"/>
  <c r="B89" i="31"/>
  <c r="B90" i="31"/>
  <c r="B91" i="31"/>
  <c r="B92" i="31"/>
  <c r="B93" i="31"/>
  <c r="B94" i="31"/>
  <c r="B95" i="31"/>
  <c r="B96" i="31"/>
  <c r="B97" i="31"/>
  <c r="B98" i="31"/>
  <c r="B99" i="31"/>
  <c r="B100" i="31"/>
  <c r="B101" i="31"/>
  <c r="B102" i="31"/>
  <c r="B103" i="31"/>
  <c r="B104" i="31"/>
  <c r="B65" i="31"/>
  <c r="B66" i="31"/>
  <c r="B67" i="31"/>
  <c r="B68" i="31"/>
  <c r="B69" i="31"/>
  <c r="B70" i="31"/>
  <c r="B71" i="31"/>
  <c r="B72" i="31"/>
  <c r="B73" i="31"/>
  <c r="B74" i="31"/>
  <c r="B75" i="31"/>
  <c r="B76" i="31"/>
  <c r="B77" i="31"/>
  <c r="B78" i="31"/>
  <c r="B79" i="31"/>
  <c r="B80" i="31"/>
  <c r="B81" i="31"/>
  <c r="B82" i="31"/>
  <c r="B83" i="31"/>
  <c r="B45" i="31"/>
  <c r="B46" i="31"/>
  <c r="B47" i="31"/>
  <c r="B48" i="31"/>
  <c r="B49" i="31"/>
  <c r="B50" i="31"/>
  <c r="B51" i="31"/>
  <c r="B52" i="31"/>
  <c r="B53" i="31"/>
  <c r="B54" i="31"/>
  <c r="B55" i="31"/>
  <c r="B56" i="31"/>
  <c r="B57" i="31"/>
  <c r="B58" i="31"/>
  <c r="B59" i="31"/>
  <c r="B60" i="31"/>
  <c r="B61" i="31"/>
  <c r="B62" i="31"/>
  <c r="B63" i="31"/>
  <c r="B64" i="31"/>
  <c r="B34" i="31"/>
  <c r="B35" i="31"/>
  <c r="B36" i="31"/>
  <c r="B37" i="31"/>
  <c r="B38" i="31"/>
  <c r="B39" i="31"/>
  <c r="B40" i="31"/>
  <c r="B41" i="31"/>
  <c r="B42" i="31"/>
  <c r="B43" i="31"/>
  <c r="B44" i="31"/>
  <c r="B9" i="31"/>
  <c r="B10" i="31"/>
  <c r="B11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5" i="31"/>
  <c r="B26" i="31"/>
  <c r="B27" i="31"/>
  <c r="B28" i="31"/>
  <c r="B29" i="31"/>
  <c r="B30" i="31"/>
  <c r="B31" i="31"/>
  <c r="B32" i="31"/>
  <c r="B33" i="31"/>
  <c r="B8" i="31"/>
  <c r="T9" i="40"/>
  <c r="L6" i="40"/>
  <c r="U22" i="40"/>
  <c r="AQ22" i="40"/>
  <c r="AR18" i="40"/>
  <c r="T8" i="40"/>
  <c r="B9" i="40"/>
  <c r="R25" i="40"/>
  <c r="AK7" i="40"/>
  <c r="AJ8" i="40"/>
  <c r="C24" i="40"/>
  <c r="M8" i="40"/>
  <c r="Z5" i="40"/>
  <c r="D30" i="40"/>
  <c r="AS21" i="40"/>
  <c r="E28" i="40"/>
  <c r="F11" i="39"/>
  <c r="D5" i="40"/>
  <c r="AC7" i="40"/>
  <c r="AR21" i="40"/>
  <c r="U25" i="40"/>
  <c r="AI3" i="40"/>
  <c r="J18" i="40"/>
  <c r="T22" i="40"/>
  <c r="Q4" i="40"/>
  <c r="Q21" i="40"/>
  <c r="AB6" i="40"/>
  <c r="AM4" i="40"/>
  <c r="L4" i="40"/>
  <c r="AI10" i="40"/>
  <c r="I18" i="40"/>
  <c r="I8" i="40"/>
  <c r="T21" i="40"/>
  <c r="D27" i="40"/>
  <c r="AJ3" i="40"/>
  <c r="C28" i="40"/>
  <c r="K8" i="40"/>
  <c r="AK21" i="40"/>
  <c r="E12" i="40"/>
  <c r="R17" i="40"/>
  <c r="Z22" i="40"/>
  <c r="Z18" i="40"/>
  <c r="L24" i="40"/>
  <c r="AP17" i="40"/>
  <c r="A18" i="40"/>
  <c r="U17" i="40"/>
  <c r="S3" i="40"/>
  <c r="AR6" i="40"/>
  <c r="B24" i="40"/>
  <c r="G4" i="40"/>
  <c r="Y6" i="40"/>
  <c r="B22" i="40"/>
  <c r="K19" i="40"/>
  <c r="L7" i="40"/>
  <c r="AA6" i="40"/>
  <c r="E4" i="39"/>
  <c r="AK24" i="40"/>
  <c r="O4" i="40"/>
  <c r="R19" i="40"/>
  <c r="B19" i="40"/>
  <c r="AJ10" i="40"/>
  <c r="K4" i="40"/>
  <c r="Q18" i="40"/>
  <c r="M3" i="40"/>
  <c r="U18" i="40"/>
  <c r="U19" i="40"/>
  <c r="AI28" i="40"/>
  <c r="E25" i="40"/>
  <c r="AK25" i="40"/>
  <c r="E9" i="40"/>
  <c r="AK3" i="40"/>
  <c r="B31" i="40"/>
  <c r="U7" i="40"/>
  <c r="AA17" i="40"/>
  <c r="T24" i="40"/>
  <c r="K21" i="40"/>
  <c r="C9" i="40"/>
  <c r="AH6" i="40"/>
  <c r="AP6" i="40"/>
  <c r="C12" i="40"/>
  <c r="F13" i="39"/>
  <c r="AK13" i="40"/>
  <c r="Q6" i="40"/>
  <c r="B27" i="40"/>
  <c r="AJ7" i="40"/>
  <c r="L21" i="40"/>
  <c r="AO21" i="40"/>
  <c r="AH3" i="40"/>
  <c r="AK18" i="40"/>
  <c r="K22" i="40"/>
  <c r="F4" i="39"/>
  <c r="AG4" i="40"/>
  <c r="AC5" i="40"/>
  <c r="AI25" i="40"/>
  <c r="B8" i="40"/>
  <c r="E6" i="39"/>
  <c r="L5" i="40"/>
  <c r="AI11" i="40"/>
  <c r="U5" i="40"/>
  <c r="C17" i="40"/>
  <c r="C8" i="40"/>
  <c r="AQ19" i="40"/>
  <c r="A27" i="40"/>
  <c r="AC22" i="40"/>
  <c r="T5" i="40"/>
  <c r="J19" i="40"/>
  <c r="C25" i="40"/>
  <c r="AJ5" i="40"/>
  <c r="AD4" i="40"/>
  <c r="L22" i="40"/>
  <c r="D13" i="40"/>
  <c r="E21" i="40"/>
  <c r="L9" i="40"/>
  <c r="B6" i="40"/>
  <c r="K5" i="40"/>
  <c r="B5" i="40"/>
  <c r="T4" i="40"/>
  <c r="AQ3" i="40"/>
  <c r="C19" i="40"/>
  <c r="AH5" i="40"/>
  <c r="J5" i="40"/>
  <c r="C7" i="40"/>
  <c r="M24" i="40"/>
  <c r="R5" i="40"/>
  <c r="J25" i="40"/>
  <c r="AS17" i="40"/>
  <c r="AQ5" i="40"/>
  <c r="D3" i="40"/>
  <c r="AR17" i="40"/>
  <c r="D18" i="2"/>
  <c r="AK4" i="40"/>
  <c r="C18" i="40"/>
  <c r="E5" i="40"/>
  <c r="B28" i="40"/>
  <c r="L19" i="40"/>
  <c r="D28" i="40"/>
  <c r="AI27" i="40"/>
  <c r="J24" i="40"/>
  <c r="F4" i="40"/>
  <c r="R21" i="40"/>
  <c r="Z19" i="40"/>
  <c r="B7" i="40"/>
  <c r="M18" i="40"/>
  <c r="V4" i="40"/>
  <c r="B12" i="40"/>
  <c r="E11" i="40"/>
  <c r="E4" i="40"/>
  <c r="AR4" i="40"/>
  <c r="AC17" i="40"/>
  <c r="Z7" i="40"/>
  <c r="D4" i="40"/>
  <c r="E22" i="40"/>
  <c r="AH27" i="40"/>
  <c r="T3" i="40"/>
  <c r="AS6" i="40"/>
  <c r="AI19" i="40"/>
  <c r="AC6" i="40"/>
  <c r="AI5" i="40"/>
  <c r="R3" i="40"/>
  <c r="A21" i="40"/>
  <c r="AH8" i="40"/>
  <c r="AH30" i="40"/>
  <c r="AB17" i="40"/>
  <c r="K7" i="40"/>
  <c r="AP19" i="40"/>
  <c r="AI4" i="40"/>
  <c r="U6" i="40"/>
  <c r="AJ24" i="40"/>
  <c r="A10" i="40"/>
  <c r="AH19" i="40"/>
  <c r="AI13" i="40"/>
  <c r="J21" i="40"/>
  <c r="AG12" i="40"/>
  <c r="J22" i="40"/>
  <c r="AK28" i="40"/>
  <c r="D6" i="40"/>
  <c r="Q8" i="40"/>
  <c r="AH4" i="40"/>
  <c r="AJ27" i="40"/>
  <c r="AH10" i="40"/>
  <c r="AB21" i="40"/>
  <c r="AH12" i="40"/>
  <c r="T17" i="40"/>
  <c r="S25" i="40"/>
  <c r="S22" i="40"/>
  <c r="R24" i="40"/>
  <c r="AJ11" i="40"/>
  <c r="AH24" i="40"/>
  <c r="B17" i="40"/>
  <c r="AQ21" i="40"/>
  <c r="AP21" i="40"/>
  <c r="AC18" i="40"/>
  <c r="AR22" i="40"/>
  <c r="AJ17" i="40"/>
  <c r="B18" i="40"/>
  <c r="A24" i="40"/>
  <c r="B3" i="40"/>
  <c r="F5" i="39"/>
  <c r="AI22" i="40"/>
  <c r="AH18" i="40"/>
  <c r="C13" i="40"/>
  <c r="S5" i="40"/>
  <c r="Z21" i="40"/>
  <c r="E6" i="40"/>
  <c r="B21" i="40"/>
  <c r="A12" i="40"/>
  <c r="AJ9" i="40"/>
  <c r="J17" i="40"/>
  <c r="J4" i="40"/>
  <c r="AK31" i="40"/>
  <c r="AJ30" i="40"/>
  <c r="F6" i="39"/>
  <c r="L18" i="40"/>
  <c r="T7" i="40"/>
  <c r="J8" i="40"/>
  <c r="Z6" i="40"/>
  <c r="L25" i="40"/>
  <c r="AJ12" i="40"/>
  <c r="AS5" i="40"/>
  <c r="C4" i="40"/>
  <c r="AB18" i="40"/>
  <c r="I4" i="40"/>
  <c r="AH11" i="40"/>
  <c r="D11" i="40"/>
  <c r="B25" i="40"/>
  <c r="S24" i="40"/>
  <c r="AK27" i="40"/>
  <c r="B4" i="2"/>
  <c r="R4" i="40"/>
  <c r="AT4" i="40"/>
  <c r="AH31" i="40"/>
  <c r="S6" i="40"/>
  <c r="AI8" i="40"/>
  <c r="AI9" i="40"/>
  <c r="F12" i="39"/>
  <c r="T25" i="40"/>
  <c r="K24" i="40"/>
  <c r="Y21" i="40"/>
  <c r="AB3" i="40"/>
  <c r="AL4" i="40"/>
  <c r="S7" i="40"/>
  <c r="A8" i="40"/>
  <c r="Y18" i="40"/>
  <c r="J6" i="40"/>
  <c r="C6" i="40"/>
  <c r="AJ18" i="40"/>
  <c r="Z3" i="40"/>
  <c r="AG27" i="40"/>
  <c r="S18" i="40"/>
  <c r="W4" i="40"/>
  <c r="D22" i="40"/>
  <c r="U9" i="40"/>
  <c r="R7" i="40"/>
  <c r="AJ6" i="40"/>
  <c r="U24" i="40"/>
  <c r="AH7" i="40"/>
  <c r="AG8" i="40"/>
  <c r="AH21" i="40"/>
  <c r="AA21" i="40"/>
  <c r="B11" i="40"/>
  <c r="AO18" i="40"/>
  <c r="U4" i="40"/>
  <c r="AA18" i="40"/>
  <c r="D12" i="40"/>
  <c r="E19" i="40"/>
  <c r="N4" i="40"/>
  <c r="AI12" i="40"/>
  <c r="E24" i="40"/>
  <c r="F2" i="39"/>
  <c r="AK19" i="40"/>
  <c r="AH25" i="40"/>
  <c r="M5" i="40"/>
  <c r="AS22" i="40"/>
  <c r="D31" i="40"/>
  <c r="D8" i="40"/>
  <c r="AQ18" i="40"/>
  <c r="AA7" i="40"/>
  <c r="J9" i="40"/>
  <c r="M4" i="40"/>
  <c r="AR3" i="40"/>
  <c r="AJ28" i="40"/>
  <c r="B13" i="40"/>
  <c r="F9" i="39"/>
  <c r="C18" i="2"/>
  <c r="M21" i="40"/>
  <c r="B30" i="40"/>
  <c r="AA4" i="40"/>
  <c r="K18" i="40"/>
  <c r="S17" i="40"/>
  <c r="T6" i="40"/>
  <c r="K3" i="40"/>
  <c r="AH28" i="40"/>
  <c r="E5" i="39"/>
  <c r="B10" i="40"/>
  <c r="L17" i="40"/>
  <c r="AA5" i="40"/>
  <c r="L8" i="40"/>
  <c r="AR19" i="40"/>
  <c r="E10" i="39"/>
  <c r="AH17" i="40"/>
  <c r="AH22" i="40"/>
  <c r="E3" i="39"/>
  <c r="AS4" i="40"/>
  <c r="AK6" i="40"/>
  <c r="F3" i="39"/>
  <c r="AP4" i="40"/>
  <c r="A6" i="40"/>
  <c r="E9" i="39"/>
  <c r="C22" i="40"/>
  <c r="AQ6" i="40"/>
  <c r="I24" i="40"/>
  <c r="AB19" i="40"/>
  <c r="C30" i="40"/>
  <c r="AK8" i="40"/>
  <c r="D24" i="40"/>
  <c r="AH9" i="40"/>
  <c r="AA19" i="40"/>
  <c r="S4" i="40"/>
  <c r="AS19" i="40"/>
  <c r="AG21" i="40"/>
  <c r="AJ22" i="40"/>
  <c r="AK12" i="40"/>
  <c r="C31" i="40"/>
  <c r="AC19" i="40"/>
  <c r="AK17" i="40"/>
  <c r="M19" i="40"/>
  <c r="AB5" i="40"/>
  <c r="AO4" i="40"/>
  <c r="F8" i="39"/>
  <c r="M7" i="40"/>
  <c r="S8" i="40"/>
  <c r="E7" i="39"/>
  <c r="AI31" i="40"/>
  <c r="AK5" i="40"/>
  <c r="AS3" i="40"/>
  <c r="AJ19" i="40"/>
  <c r="AG6" i="40"/>
  <c r="D19" i="40"/>
  <c r="B18" i="2"/>
  <c r="L3" i="40"/>
  <c r="E31" i="40"/>
  <c r="AS7" i="40"/>
  <c r="A30" i="40"/>
  <c r="AJ13" i="40"/>
  <c r="AP22" i="40"/>
  <c r="AI18" i="40"/>
  <c r="E10" i="40"/>
  <c r="R8" i="40"/>
  <c r="E30" i="40"/>
  <c r="E8" i="40"/>
  <c r="AP3" i="40"/>
  <c r="AQ17" i="40"/>
  <c r="AH13" i="40"/>
  <c r="Z4" i="40"/>
  <c r="AJ21" i="40"/>
  <c r="I21" i="40"/>
  <c r="E11" i="39"/>
  <c r="E3" i="40"/>
  <c r="AG24" i="40"/>
  <c r="B4" i="40"/>
  <c r="AE4" i="40"/>
  <c r="E12" i="39"/>
  <c r="Y4" i="40"/>
  <c r="Q24" i="40"/>
  <c r="AI6" i="40"/>
  <c r="J3" i="40"/>
  <c r="AI17" i="40"/>
  <c r="Z17" i="40"/>
  <c r="AO6" i="40"/>
  <c r="E27" i="40"/>
  <c r="AQ7" i="40"/>
  <c r="AI21" i="40"/>
  <c r="AA3" i="40"/>
  <c r="AQ4" i="40"/>
  <c r="I6" i="40"/>
  <c r="D7" i="40"/>
  <c r="M6" i="40"/>
  <c r="AP7" i="40"/>
  <c r="AK30" i="40"/>
  <c r="D9" i="40"/>
  <c r="S9" i="40"/>
  <c r="D17" i="40"/>
  <c r="R6" i="40"/>
  <c r="C21" i="40"/>
  <c r="AP18" i="40"/>
  <c r="AB22" i="40"/>
  <c r="C3" i="40"/>
  <c r="M22" i="40"/>
  <c r="AC21" i="40"/>
  <c r="K25" i="40"/>
  <c r="AB4" i="40"/>
  <c r="T18" i="40"/>
  <c r="B23" i="2"/>
  <c r="E8" i="39"/>
  <c r="AI7" i="40"/>
  <c r="AR7" i="40"/>
  <c r="AG10" i="40"/>
  <c r="AP5" i="40"/>
  <c r="S21" i="40"/>
  <c r="C11" i="40"/>
  <c r="U3" i="40"/>
  <c r="AB7" i="40"/>
  <c r="E7" i="40"/>
  <c r="U8" i="40"/>
  <c r="E13" i="39"/>
  <c r="K6" i="40"/>
  <c r="AS18" i="40"/>
  <c r="C10" i="40"/>
  <c r="M25" i="40"/>
  <c r="AJ25" i="40"/>
  <c r="R18" i="40"/>
  <c r="C27" i="40"/>
  <c r="J7" i="40"/>
  <c r="F7" i="39"/>
  <c r="R22" i="40"/>
  <c r="A4" i="40"/>
  <c r="R9" i="40"/>
  <c r="T19" i="40"/>
  <c r="AK10" i="40"/>
  <c r="AI30" i="40"/>
  <c r="D18" i="40"/>
  <c r="AC3" i="40"/>
  <c r="D21" i="40"/>
  <c r="C5" i="40"/>
  <c r="AK11" i="40"/>
  <c r="E18" i="2"/>
  <c r="AC4" i="40"/>
  <c r="E18" i="40"/>
  <c r="M9" i="40"/>
  <c r="U21" i="40"/>
  <c r="K9" i="40"/>
  <c r="K17" i="40"/>
  <c r="D25" i="40"/>
  <c r="S19" i="40"/>
  <c r="E13" i="40"/>
  <c r="AJ31" i="40"/>
  <c r="D10" i="40"/>
  <c r="AJ4" i="40"/>
  <c r="AI24" i="40"/>
  <c r="F10" i="39"/>
  <c r="AK22" i="40"/>
  <c r="AA22" i="40"/>
  <c r="AU4" i="40"/>
  <c r="AG30" i="40"/>
  <c r="AK9" i="40"/>
  <c r="M17" i="40"/>
  <c r="AR5" i="40"/>
  <c r="E17" i="40"/>
  <c r="AG18" i="40"/>
  <c r="F53" i="40" l="1"/>
  <c r="AS23" i="40"/>
  <c r="B50" i="40"/>
  <c r="E41" i="40"/>
  <c r="D32" i="40"/>
  <c r="C45" i="40"/>
  <c r="AH20" i="40"/>
  <c r="J26" i="40"/>
  <c r="T23" i="40"/>
  <c r="E43" i="40"/>
  <c r="E53" i="40"/>
  <c r="AR23" i="40"/>
  <c r="M20" i="40"/>
  <c r="F50" i="40"/>
  <c r="AC20" i="40"/>
  <c r="C43" i="40"/>
  <c r="R23" i="40"/>
  <c r="B32" i="40"/>
  <c r="C41" i="40"/>
  <c r="J23" i="40"/>
  <c r="F38" i="40"/>
  <c r="E23" i="40"/>
  <c r="C51" i="40"/>
  <c r="Z23" i="40"/>
  <c r="B44" i="40"/>
  <c r="B38" i="40"/>
  <c r="J20" i="40"/>
  <c r="C38" i="40"/>
  <c r="B23" i="40"/>
  <c r="D51" i="40"/>
  <c r="AA23" i="40"/>
  <c r="C49" i="40"/>
  <c r="AH32" i="40"/>
  <c r="D39" i="40"/>
  <c r="C26" i="40"/>
  <c r="AB20" i="40"/>
  <c r="E50" i="40"/>
  <c r="D41" i="40"/>
  <c r="C32" i="40"/>
  <c r="B46" i="40"/>
  <c r="AH23" i="40"/>
  <c r="C46" i="40"/>
  <c r="M23" i="40"/>
  <c r="AJ29" i="40"/>
  <c r="E48" i="40"/>
  <c r="M26" i="40"/>
  <c r="C29" i="40"/>
  <c r="D40" i="40"/>
  <c r="B47" i="40"/>
  <c r="B42" i="40"/>
  <c r="AI23" i="40"/>
  <c r="D46" i="40"/>
  <c r="B53" i="40"/>
  <c r="L23" i="40"/>
  <c r="C20" i="40"/>
  <c r="D37" i="40"/>
  <c r="D43" i="40"/>
  <c r="S23" i="40"/>
  <c r="S26" i="40"/>
  <c r="D44" i="40"/>
  <c r="F42" i="40"/>
  <c r="U20" i="40"/>
  <c r="D20" i="40"/>
  <c r="E37" i="40"/>
  <c r="U23" i="40"/>
  <c r="F43" i="40"/>
  <c r="AI20" i="40"/>
  <c r="D45" i="40"/>
  <c r="B48" i="40"/>
  <c r="E47" i="40"/>
  <c r="AJ26" i="40"/>
  <c r="E45" i="40"/>
  <c r="AJ20" i="40"/>
  <c r="AJ23" i="40"/>
  <c r="E46" i="40"/>
  <c r="E42" i="40"/>
  <c r="T20" i="40"/>
  <c r="AJ32" i="40"/>
  <c r="E49" i="40"/>
  <c r="B40" i="40"/>
  <c r="K26" i="40"/>
  <c r="D26" i="40"/>
  <c r="E39" i="40"/>
  <c r="S20" i="40"/>
  <c r="D42" i="40"/>
  <c r="AI29" i="40"/>
  <c r="D48" i="40"/>
  <c r="E51" i="40"/>
  <c r="AB23" i="40"/>
  <c r="C53" i="40"/>
  <c r="AP23" i="40"/>
  <c r="AR20" i="40"/>
  <c r="E52" i="40"/>
  <c r="B51" i="40"/>
  <c r="AI26" i="40"/>
  <c r="D47" i="40"/>
  <c r="F44" i="40"/>
  <c r="U26" i="40"/>
  <c r="B20" i="40"/>
  <c r="C37" i="40"/>
  <c r="K20" i="40"/>
  <c r="B43" i="40"/>
  <c r="F52" i="40"/>
  <c r="AS20" i="40"/>
  <c r="C44" i="40"/>
  <c r="R26" i="40"/>
  <c r="D50" i="40"/>
  <c r="AA20" i="40"/>
  <c r="AC23" i="40"/>
  <c r="F51" i="40"/>
  <c r="F40" i="40"/>
  <c r="E29" i="40"/>
  <c r="AK20" i="40"/>
  <c r="F45" i="40"/>
  <c r="F49" i="40"/>
  <c r="AK32" i="40"/>
  <c r="F46" i="40"/>
  <c r="AK23" i="40"/>
  <c r="L26" i="40"/>
  <c r="B49" i="40"/>
  <c r="C39" i="40"/>
  <c r="B26" i="40"/>
  <c r="AK29" i="40"/>
  <c r="F48" i="40"/>
  <c r="F41" i="40"/>
  <c r="E32" i="40"/>
  <c r="D38" i="40"/>
  <c r="C23" i="40"/>
  <c r="E20" i="40"/>
  <c r="F37" i="40"/>
  <c r="L20" i="40"/>
  <c r="C52" i="40"/>
  <c r="AP20" i="40"/>
  <c r="D29" i="40"/>
  <c r="E40" i="40"/>
  <c r="B39" i="40"/>
  <c r="C42" i="40"/>
  <c r="R20" i="40"/>
  <c r="AQ20" i="40"/>
  <c r="D52" i="40"/>
  <c r="AH29" i="40"/>
  <c r="C48" i="40"/>
  <c r="K23" i="40"/>
  <c r="B45" i="40"/>
  <c r="E44" i="40"/>
  <c r="T26" i="40"/>
  <c r="B29" i="40"/>
  <c r="C40" i="40"/>
  <c r="C50" i="40"/>
  <c r="Z20" i="40"/>
  <c r="B52" i="40"/>
  <c r="AI32" i="40"/>
  <c r="D49" i="40"/>
  <c r="D53" i="40"/>
  <c r="AQ23" i="40"/>
  <c r="E38" i="40"/>
  <c r="D23" i="40"/>
  <c r="B41" i="40"/>
  <c r="E26" i="40"/>
  <c r="F39" i="40"/>
  <c r="F47" i="40"/>
  <c r="AK26" i="40"/>
  <c r="C47" i="40"/>
  <c r="AH26" i="40"/>
  <c r="B37" i="40"/>
  <c r="I53" i="40" l="1"/>
  <c r="J53" i="40"/>
  <c r="I46" i="40"/>
  <c r="J38" i="40"/>
  <c r="H54" i="40"/>
  <c r="I51" i="40"/>
  <c r="J51" i="40"/>
  <c r="J37" i="40"/>
  <c r="I43" i="40"/>
  <c r="G51" i="40"/>
  <c r="H46" i="40"/>
  <c r="J50" i="40"/>
  <c r="G50" i="40"/>
  <c r="I38" i="40"/>
  <c r="H53" i="40"/>
  <c r="G46" i="40"/>
  <c r="J46" i="40"/>
  <c r="G45" i="40"/>
  <c r="H45" i="40"/>
  <c r="J45" i="40"/>
  <c r="I45" i="40"/>
  <c r="I37" i="40"/>
  <c r="J42" i="40"/>
  <c r="H43" i="40"/>
  <c r="H37" i="40"/>
  <c r="G38" i="40"/>
  <c r="G53" i="40"/>
  <c r="G54" i="40"/>
  <c r="H38" i="40"/>
  <c r="J54" i="40"/>
  <c r="I54" i="40"/>
  <c r="I50" i="40"/>
  <c r="J43" i="40"/>
  <c r="G37" i="40"/>
  <c r="G42" i="40"/>
  <c r="G43" i="40"/>
  <c r="H50" i="40"/>
  <c r="H51" i="40"/>
  <c r="H42" i="40"/>
  <c r="I42" i="40"/>
  <c r="I55" i="40" l="1"/>
  <c r="I44" i="40"/>
  <c r="I39" i="40"/>
  <c r="H47" i="40"/>
  <c r="J55" i="40"/>
  <c r="J39" i="40"/>
  <c r="J44" i="40"/>
  <c r="I47" i="40"/>
  <c r="G52" i="40"/>
  <c r="J52" i="40"/>
  <c r="H55" i="40"/>
  <c r="I52" i="40"/>
  <c r="J47" i="40"/>
  <c r="G39" i="40"/>
  <c r="G47" i="40"/>
  <c r="H44" i="40"/>
  <c r="H52" i="40"/>
  <c r="G44" i="40"/>
  <c r="H39" i="40"/>
  <c r="G55" i="40"/>
  <c r="E10" i="2"/>
  <c r="E12" i="2"/>
  <c r="D36" i="2"/>
  <c r="D32" i="2"/>
  <c r="C36" i="2"/>
  <c r="E30" i="2"/>
  <c r="C27" i="2"/>
  <c r="G4" i="31"/>
  <c r="B32" i="2"/>
  <c r="B8" i="2"/>
  <c r="C8" i="2"/>
  <c r="E11" i="2"/>
  <c r="C35" i="2"/>
  <c r="C3" i="2"/>
  <c r="E35" i="2"/>
  <c r="D3" i="2"/>
  <c r="E3" i="2"/>
  <c r="B27" i="2"/>
  <c r="D10" i="2"/>
  <c r="B24" i="2"/>
  <c r="C11" i="2"/>
  <c r="E8" i="2"/>
  <c r="E29" i="2"/>
  <c r="B36" i="2"/>
  <c r="D7" i="2"/>
  <c r="I5" i="31"/>
  <c r="D26" i="2"/>
  <c r="C21" i="2"/>
  <c r="E5" i="2"/>
  <c r="A20" i="2"/>
  <c r="D12" i="2"/>
  <c r="C12" i="2"/>
  <c r="A8" i="2"/>
  <c r="C7" i="2"/>
  <c r="D30" i="2"/>
  <c r="E26" i="2"/>
  <c r="D6" i="2"/>
  <c r="E13" i="2"/>
  <c r="D9" i="2"/>
  <c r="E7" i="2"/>
  <c r="D8" i="2"/>
  <c r="A26" i="2"/>
  <c r="D4" i="2"/>
  <c r="D20" i="2"/>
  <c r="C26" i="2"/>
  <c r="C23" i="2"/>
  <c r="B7" i="2"/>
  <c r="E36" i="2"/>
  <c r="E20" i="2"/>
  <c r="A6" i="2"/>
  <c r="B12" i="2"/>
  <c r="C13" i="2"/>
  <c r="C14" i="2"/>
  <c r="G5" i="31"/>
  <c r="B26" i="2"/>
  <c r="C24" i="2"/>
  <c r="C32" i="2"/>
  <c r="E21" i="2"/>
  <c r="E14" i="2"/>
  <c r="C29" i="2"/>
  <c r="E27" i="2"/>
  <c r="B5" i="2"/>
  <c r="A35" i="2"/>
  <c r="D5" i="2"/>
  <c r="E9" i="2"/>
  <c r="C15" i="2"/>
  <c r="E4" i="2"/>
  <c r="D13" i="2"/>
  <c r="D15" i="2"/>
  <c r="B3" i="2"/>
  <c r="C9" i="2"/>
  <c r="A12" i="2"/>
  <c r="B15" i="2"/>
  <c r="A14" i="2"/>
  <c r="B21" i="2"/>
  <c r="A29" i="2"/>
  <c r="A23" i="2"/>
  <c r="B6" i="2"/>
  <c r="A32" i="2"/>
  <c r="C10" i="2"/>
  <c r="C5" i="2"/>
  <c r="C5" i="31"/>
  <c r="D14" i="2"/>
  <c r="C6" i="2"/>
  <c r="E5" i="31"/>
  <c r="D29" i="2"/>
  <c r="E32" i="2"/>
  <c r="C30" i="2"/>
  <c r="D35" i="2"/>
  <c r="C4" i="31"/>
  <c r="E4" i="31"/>
  <c r="D21" i="2"/>
  <c r="C4" i="2"/>
  <c r="E6" i="2"/>
  <c r="A4" i="2"/>
  <c r="E33" i="2"/>
  <c r="B33" i="2"/>
  <c r="B14" i="2"/>
  <c r="D27" i="2"/>
  <c r="B20" i="2"/>
  <c r="C33" i="2"/>
  <c r="E24" i="2"/>
  <c r="B10" i="2"/>
  <c r="B11" i="2"/>
  <c r="D23" i="2"/>
  <c r="E23" i="2"/>
  <c r="E15" i="2"/>
  <c r="B29" i="2"/>
  <c r="C20" i="2"/>
  <c r="B9" i="2"/>
  <c r="B30" i="2"/>
  <c r="D11" i="2"/>
  <c r="D33" i="2"/>
  <c r="D24" i="2"/>
  <c r="I4" i="31"/>
  <c r="A10" i="2"/>
  <c r="B13" i="2"/>
  <c r="B35" i="2"/>
  <c r="B28" i="2" l="1"/>
  <c r="E22" i="2"/>
  <c r="B37" i="2"/>
  <c r="E31" i="2"/>
  <c r="C22" i="2"/>
  <c r="C25" i="2"/>
  <c r="B31" i="2"/>
  <c r="C28" i="2"/>
  <c r="D37" i="2"/>
  <c r="D22" i="2"/>
  <c r="B25" i="2"/>
  <c r="G21" i="2"/>
  <c r="B34" i="2"/>
  <c r="E25" i="2"/>
  <c r="D28" i="2"/>
  <c r="D25" i="2"/>
  <c r="E34" i="2"/>
  <c r="D31" i="2"/>
  <c r="C31" i="2"/>
  <c r="E37" i="2"/>
  <c r="D34" i="2"/>
  <c r="B22" i="2"/>
  <c r="G20" i="2"/>
  <c r="C37" i="2"/>
  <c r="C34" i="2"/>
  <c r="E28" i="2"/>
</calcChain>
</file>

<file path=xl/sharedStrings.xml><?xml version="1.0" encoding="utf-8"?>
<sst xmlns="http://schemas.openxmlformats.org/spreadsheetml/2006/main" count="3286" uniqueCount="223">
  <si>
    <t>STEP3-Covariate-Proportional-ML 4-Cluster Model</t>
  </si>
  <si>
    <t>Number of cases</t>
  </si>
  <si>
    <t>Number of parameters (Npar)</t>
  </si>
  <si>
    <t>Design Effect</t>
  </si>
  <si>
    <t>Robustness Effect</t>
  </si>
  <si>
    <t>Random Seed</t>
  </si>
  <si>
    <t>Best Start Seed</t>
  </si>
  <si>
    <t>Chi-squared Statistics</t>
  </si>
  <si>
    <t>Degrees of freedom (df)</t>
  </si>
  <si>
    <t>p-value</t>
  </si>
  <si>
    <t>L-squared (L²)</t>
  </si>
  <si>
    <t>.</t>
  </si>
  <si>
    <t>X-squared</t>
  </si>
  <si>
    <t>Cressie-Read</t>
  </si>
  <si>
    <t>BIC (based on L²)</t>
  </si>
  <si>
    <t>AIC (based on L²)</t>
  </si>
  <si>
    <t>AIC3 (based on L²)</t>
  </si>
  <si>
    <t>CAIC (based on L²)</t>
  </si>
  <si>
    <t>SABIC (based on L²)</t>
  </si>
  <si>
    <t>Dissimilarity Index</t>
  </si>
  <si>
    <t>Log-likelihood Statistics</t>
  </si>
  <si>
    <t>Log-likelihood (LL)</t>
  </si>
  <si>
    <t>Log-prior</t>
  </si>
  <si>
    <t>Log-posterior</t>
  </si>
  <si>
    <t>BIC (based on LL)</t>
  </si>
  <si>
    <t>AIC (based on LL)</t>
  </si>
  <si>
    <t>AIC3 (based on LL)</t>
  </si>
  <si>
    <t>CAIC (based on LL)</t>
  </si>
  <si>
    <t>SABIC (based on LL)</t>
  </si>
  <si>
    <t>Classification Statistics</t>
  </si>
  <si>
    <t>Classification errors</t>
  </si>
  <si>
    <t>Reduction of errors (Lambda)</t>
  </si>
  <si>
    <t>Entropy R-squared</t>
  </si>
  <si>
    <t>Standard R-squared</t>
  </si>
  <si>
    <t>Classification log-likelihood</t>
  </si>
  <si>
    <t>Entropy</t>
  </si>
  <si>
    <t>CLC</t>
  </si>
  <si>
    <t>AWE</t>
  </si>
  <si>
    <t>ICL-BIC</t>
  </si>
  <si>
    <t>Classification Table</t>
  </si>
  <si>
    <t>Modal</t>
  </si>
  <si>
    <t>Latent</t>
  </si>
  <si>
    <t>Cluster1</t>
  </si>
  <si>
    <t>Cluster2</t>
  </si>
  <si>
    <t>Cluster3</t>
  </si>
  <si>
    <t>Cluster4</t>
  </si>
  <si>
    <t>Total</t>
  </si>
  <si>
    <t>Proportional</t>
  </si>
  <si>
    <t>Covariate Classification Statistics</t>
  </si>
  <si>
    <t>Files</t>
  </si>
  <si>
    <t>Infile</t>
  </si>
  <si>
    <t>O:\FPDEA\Projects\Enforceable Agreements\_Data\supplier_classification_drop empty.sav</t>
  </si>
  <si>
    <t>Options</t>
  </si>
  <si>
    <t>threads</t>
  </si>
  <si>
    <t>algorithm</t>
  </si>
  <si>
    <t>tolerance</t>
  </si>
  <si>
    <t>emtolerance</t>
  </si>
  <si>
    <t>emiterations</t>
  </si>
  <si>
    <t>nriterations</t>
  </si>
  <si>
    <t>startvalues</t>
  </si>
  <si>
    <t>seed</t>
  </si>
  <si>
    <t>sets</t>
  </si>
  <si>
    <t>iterations</t>
  </si>
  <si>
    <t>bayes</t>
  </si>
  <si>
    <t>categorical</t>
  </si>
  <si>
    <t>variances</t>
  </si>
  <si>
    <t>latent</t>
  </si>
  <si>
    <t>poisson</t>
  </si>
  <si>
    <t>quadrature</t>
  </si>
  <si>
    <t>nodes</t>
  </si>
  <si>
    <t>missing</t>
  </si>
  <si>
    <t>excludeall</t>
  </si>
  <si>
    <t>step3</t>
  </si>
  <si>
    <t>classification</t>
  </si>
  <si>
    <t>proportional</t>
  </si>
  <si>
    <t>adjustment</t>
  </si>
  <si>
    <t>ML</t>
  </si>
  <si>
    <t>simultaneous</t>
  </si>
  <si>
    <t>no</t>
  </si>
  <si>
    <t>output</t>
  </si>
  <si>
    <t>parameters</t>
  </si>
  <si>
    <t>effect</t>
  </si>
  <si>
    <t>standard errors</t>
  </si>
  <si>
    <t>robust</t>
  </si>
  <si>
    <t>sample size BIC</t>
  </si>
  <si>
    <t>predictionstatistics</t>
  </si>
  <si>
    <t>Variable Detail</t>
  </si>
  <si>
    <t>Posteriors</t>
  </si>
  <si>
    <t>clu_1</t>
  </si>
  <si>
    <t>...</t>
  </si>
  <si>
    <t>clu_2</t>
  </si>
  <si>
    <t>clu_3</t>
  </si>
  <si>
    <t>clu_4</t>
  </si>
  <si>
    <t>1 Covariates</t>
  </si>
  <si>
    <t>a1</t>
  </si>
  <si>
    <t>Nominal</t>
  </si>
  <si>
    <t>Argentina</t>
  </si>
  <si>
    <t>Bolivia</t>
  </si>
  <si>
    <t>Ecuador</t>
  </si>
  <si>
    <t>Paraguay</t>
  </si>
  <si>
    <t>Peru</t>
  </si>
  <si>
    <t>Uruguay</t>
  </si>
  <si>
    <t>Parameters</t>
  </si>
  <si>
    <t>Model for Classes</t>
  </si>
  <si>
    <t>Intercept</t>
  </si>
  <si>
    <t>s.e.</t>
  </si>
  <si>
    <t>Wald</t>
  </si>
  <si>
    <t>Covariates</t>
  </si>
  <si>
    <t>Paired Comparisons</t>
  </si>
  <si>
    <t>df</t>
  </si>
  <si>
    <t>Cluster</t>
  </si>
  <si>
    <t>Profile</t>
  </si>
  <si>
    <t>Cluster Size</t>
  </si>
  <si>
    <t>ProbMeans</t>
  </si>
  <si>
    <t>Overall</t>
  </si>
  <si>
    <t>EstimatedValues-Model</t>
  </si>
  <si>
    <t>Cluster_Proportional</t>
  </si>
  <si>
    <t>a1 results</t>
  </si>
  <si>
    <t>(coef)</t>
  </si>
  <si>
    <t>(s.e)</t>
  </si>
  <si>
    <t>Estimated Values</t>
  </si>
  <si>
    <t>source cell:</t>
  </si>
  <si>
    <t>covariate a1 - L² = -0.0000</t>
  </si>
  <si>
    <t>z-value</t>
  </si>
  <si>
    <t>(z-value)</t>
  </si>
  <si>
    <t>Num-Fixed</t>
  </si>
  <si>
    <t>Mean</t>
  </si>
  <si>
    <t>Model1 - L² = -0.0000</t>
  </si>
  <si>
    <t>O:\FPDEA\Projects\Enforceable Agreements\_Data\supplier_classification_drop empty_add size cat.sav</t>
  </si>
  <si>
    <t>size4</t>
  </si>
  <si>
    <t>Small (5-19)</t>
  </si>
  <si>
    <t>Medium (20-99)</t>
  </si>
  <si>
    <t>Large (100-399)</t>
  </si>
  <si>
    <t>Very large (400+)</t>
  </si>
  <si>
    <t>1.96 * s.e.</t>
  </si>
  <si>
    <t>O:\FPDEA\Projects\Enforceable Agreements\_Data\supplier_classification_drop empty_add more variables.sav</t>
  </si>
  <si>
    <t>covariate mgmt - L² = 5168.3272</t>
  </si>
  <si>
    <t>1.7e-644</t>
  </si>
  <si>
    <t>1.3e-961</t>
  </si>
  <si>
    <t>8.1e-752</t>
  </si>
  <si>
    <t>mgmt_agg</t>
  </si>
  <si>
    <t>59 - 98</t>
  </si>
  <si>
    <t>99 - 142</t>
  </si>
  <si>
    <t>143 - 191</t>
  </si>
  <si>
    <t>192 - 255</t>
  </si>
  <si>
    <t>covariate car7 - L² = 0.0000</t>
  </si>
  <si>
    <t>car7</t>
  </si>
  <si>
    <t>covariate b2a - L² = 513.0048</t>
  </si>
  <si>
    <t>b2a</t>
  </si>
  <si>
    <t>52 - 52</t>
  </si>
  <si>
    <t>a3ax</t>
  </si>
  <si>
    <t>Arequipa</t>
  </si>
  <si>
    <t>Asuncion</t>
  </si>
  <si>
    <t>Azuay</t>
  </si>
  <si>
    <t>Buenos Aires</t>
  </si>
  <si>
    <t>Canelones</t>
  </si>
  <si>
    <t>Central</t>
  </si>
  <si>
    <t>Chiclayo</t>
  </si>
  <si>
    <t>Cochabamba</t>
  </si>
  <si>
    <t>Cordoba</t>
  </si>
  <si>
    <t>Guayas</t>
  </si>
  <si>
    <t>La Paz</t>
  </si>
  <si>
    <t>Lima</t>
  </si>
  <si>
    <t>Mendoza</t>
  </si>
  <si>
    <t>Montevideo</t>
  </si>
  <si>
    <t>Pichincha</t>
  </si>
  <si>
    <t>Piura</t>
  </si>
  <si>
    <t>Rosario</t>
  </si>
  <si>
    <t>Santa Cruz</t>
  </si>
  <si>
    <t>Trujillo</t>
  </si>
  <si>
    <t>Tucuman</t>
  </si>
  <si>
    <t>mgmt</t>
  </si>
  <si>
    <t>Index for management practices, high means better management</t>
  </si>
  <si>
    <t>Variable</t>
  </si>
  <si>
    <t>Sheet</t>
  </si>
  <si>
    <t>Position</t>
  </si>
  <si>
    <t>Country</t>
  </si>
  <si>
    <t>Description</t>
  </si>
  <si>
    <t>\\Decfile2\decig\FPDEA\Projects\Enforceable Agreements\_Data\suppliers_Uruguay.sav</t>
  </si>
  <si>
    <t>Model1 - L² = 0.6215</t>
  </si>
  <si>
    <t>\\Decfile2\decig\FPDEA\Projects\Enforceable Agreements\_Data\suppliers_Ecuador.sav</t>
  </si>
  <si>
    <t>2.8e-1195</t>
  </si>
  <si>
    <t>Model1 - L² = 0.2645</t>
  </si>
  <si>
    <t>\\Decfile2\decig\FPDEA\Projects\Enforceable Agreements\_Data\suppliers_Paraguay.sav</t>
  </si>
  <si>
    <t>2.2e-891</t>
  </si>
  <si>
    <t>Model1 - L² = 0.3484</t>
  </si>
  <si>
    <t>\\Decfile2\decig\FPDEA\Projects\Enforceable Agreements\_Data\suppliers_Peru.sav</t>
  </si>
  <si>
    <t>2.4e-11353</t>
  </si>
  <si>
    <t>Model1 - L² = 0.1656</t>
  </si>
  <si>
    <t>\\Decfile2\decig\FPDEA\Projects\Enforceable Agreements\_Data\suppliers_Argentina.sav</t>
  </si>
  <si>
    <t>5.8e-610670</t>
  </si>
  <si>
    <t>4.3e-538</t>
  </si>
  <si>
    <t>3.0e-456</t>
  </si>
  <si>
    <t>1.6e-517</t>
  </si>
  <si>
    <t>Model1 - L² = 0.0000</t>
  </si>
  <si>
    <t>\\Decfile2\decig\FPDEA\Projects\Enforceable Agreements\_Data\suppliers_Bolivia.sav</t>
  </si>
  <si>
    <t>Sub-regions of Argentina</t>
  </si>
  <si>
    <t>Sub-regions of Bolivia</t>
  </si>
  <si>
    <t>Sub-regions of Ecuador</t>
  </si>
  <si>
    <t>Sub-regions of Paraguay</t>
  </si>
  <si>
    <t>Sub-regions of Peru</t>
  </si>
  <si>
    <t>Sub-regions of Uruguay</t>
  </si>
  <si>
    <t>\\Decfile2\decig\FPDEA\Projects\Enforceable Agreements\_Data\supplier_classification_drop empty_add isic business assoc b1.sav</t>
  </si>
  <si>
    <t>isic - L² = 1.0791</t>
  </si>
  <si>
    <t>isic</t>
  </si>
  <si>
    <t>1.2e-665</t>
  </si>
  <si>
    <t>1.5e-563</t>
  </si>
  <si>
    <t>4.1e-485</t>
  </si>
  <si>
    <t>4.6e-601</t>
  </si>
  <si>
    <t>2.9e-1894</t>
  </si>
  <si>
    <t>5.8e-1362</t>
  </si>
  <si>
    <t>1.5e-3664</t>
  </si>
  <si>
    <t>Management practices</t>
  </si>
  <si>
    <t>Strong comprehensive</t>
  </si>
  <si>
    <t>Bilateralism, private support</t>
  </si>
  <si>
    <t>Bilateralism, legal support</t>
  </si>
  <si>
    <t>Wald test</t>
  </si>
  <si>
    <t>Pure bilateralism</t>
  </si>
  <si>
    <t>Please ignore the grey columns, its to simply to create the table</t>
  </si>
  <si>
    <t>Firm size</t>
  </si>
  <si>
    <t>Sector of operation</t>
  </si>
  <si>
    <t>Proportion domestic private ownership</t>
  </si>
  <si>
    <t>At least 10% foreign owned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</si>
</sst>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1" fontId="3" fillId="0" borderId="1" xfId="0" applyNumberFormat="1" applyFont="1" applyBorder="1" applyAlignment="1">
      <alignment vertical="center" wrapText="1"/>
    </xf>
    <xf numFmtId="11" fontId="4" fillId="0" borderId="1" xfId="0" applyNumberFormat="1" applyFont="1" applyBorder="1" applyAlignment="1">
      <alignment vertical="center" wrapText="1"/>
    </xf>
    <xf numFmtId="0" fontId="1" fillId="0" borderId="0" xfId="0" applyFont="1"/>
    <xf numFmtId="2" fontId="1" fillId="0" borderId="0" xfId="0" applyNumberFormat="1" applyFont="1"/>
    <xf numFmtId="2" fontId="5" fillId="0" borderId="0" xfId="0" applyNumberFormat="1" applyFont="1"/>
    <xf numFmtId="2" fontId="0" fillId="0" borderId="0" xfId="0" applyNumberFormat="1"/>
    <xf numFmtId="17" fontId="4" fillId="0" borderId="1" xfId="0" applyNumberFormat="1" applyFont="1" applyBorder="1" applyAlignment="1">
      <alignment vertical="center" wrapText="1"/>
    </xf>
    <xf numFmtId="0" fontId="5" fillId="0" borderId="0" xfId="0" applyFont="1"/>
    <xf numFmtId="0" fontId="1" fillId="0" borderId="0" xfId="0" applyFont="1" applyAlignment="1">
      <alignment vertical="center"/>
    </xf>
    <xf numFmtId="0" fontId="0" fillId="0" borderId="0" xfId="0" applyFont="1"/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3" borderId="0" xfId="0" applyFont="1" applyFill="1"/>
    <xf numFmtId="0" fontId="0" fillId="3" borderId="0" xfId="0" applyFill="1"/>
    <xf numFmtId="0" fontId="1" fillId="0" borderId="0" xfId="0" applyFont="1" applyFill="1"/>
    <xf numFmtId="0" fontId="0" fillId="0" borderId="0" xfId="0" applyFill="1"/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FBFBF"/>
      <color rgb="FF929292"/>
      <color rgb="FFBED5B4"/>
      <color rgb="FF568736"/>
      <color rgb="FF68A242"/>
      <color rgb="FF90BB7A"/>
      <color rgb="FF81B464"/>
      <color rgb="FFA1C490"/>
      <color rgb="FFB8D1AD"/>
      <color rgb="FFCEDE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761628553336906E-2"/>
          <c:y val="4.6267087276550996E-2"/>
          <c:w val="0.90822793559644821"/>
          <c:h val="0.796220803629830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1a'!$B$19</c:f>
              <c:strCache>
                <c:ptCount val="1"/>
                <c:pt idx="0">
                  <c:v>Pure bilateralism</c:v>
                </c:pt>
              </c:strCache>
            </c:strRef>
          </c:tx>
          <c:spPr>
            <a:solidFill>
              <a:schemeClr val="accent3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ctr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1a'!$A$20,'Figure 1a'!$A$23,'Figure 1a'!$A$26,'Figure 1a'!$A$29,'Figure 1a'!$A$32,'Figure 1a'!$A$35)</c:f>
              <c:strCache>
                <c:ptCount val="6"/>
                <c:pt idx="0">
                  <c:v>Argentina</c:v>
                </c:pt>
                <c:pt idx="1">
                  <c:v>Bolivia</c:v>
                </c:pt>
                <c:pt idx="2">
                  <c:v>Ecuador</c:v>
                </c:pt>
                <c:pt idx="3">
                  <c:v>Paraguay</c:v>
                </c:pt>
                <c:pt idx="4">
                  <c:v>Peru</c:v>
                </c:pt>
                <c:pt idx="5">
                  <c:v>Uruguay</c:v>
                </c:pt>
              </c:strCache>
            </c:strRef>
          </c:cat>
          <c:val>
            <c:numRef>
              <c:f>('Figure 1a'!$B$20,'Figure 1a'!$B$23,'Figure 1a'!$B$26,'Figure 1a'!$B$29,'Figure 1a'!$B$32,'Figure 1a'!$B$35)</c:f>
              <c:numCache>
                <c:formatCode>General</c:formatCode>
                <c:ptCount val="6"/>
                <c:pt idx="0">
                  <c:v>0.67079999999999995</c:v>
                </c:pt>
                <c:pt idx="1">
                  <c:v>0.51780000000000004</c:v>
                </c:pt>
                <c:pt idx="2">
                  <c:v>0.64700000000000002</c:v>
                </c:pt>
                <c:pt idx="3">
                  <c:v>0.71379999999999999</c:v>
                </c:pt>
                <c:pt idx="4">
                  <c:v>0.73150000000000004</c:v>
                </c:pt>
                <c:pt idx="5">
                  <c:v>0.6139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9-4EDF-BEC0-11B3F90CF26E}"/>
            </c:ext>
          </c:extLst>
        </c:ser>
        <c:ser>
          <c:idx val="1"/>
          <c:order val="1"/>
          <c:tx>
            <c:strRef>
              <c:f>'Figure 1a'!$C$19</c:f>
              <c:strCache>
                <c:ptCount val="1"/>
                <c:pt idx="0">
                  <c:v>Bilateralism, private support</c:v>
                </c:pt>
              </c:strCache>
            </c:strRef>
          </c:tx>
          <c:spPr>
            <a:solidFill>
              <a:schemeClr val="accent3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ctr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1a'!$A$20,'Figure 1a'!$A$23,'Figure 1a'!$A$26,'Figure 1a'!$A$29,'Figure 1a'!$A$32,'Figure 1a'!$A$35)</c:f>
              <c:strCache>
                <c:ptCount val="6"/>
                <c:pt idx="0">
                  <c:v>Argentina</c:v>
                </c:pt>
                <c:pt idx="1">
                  <c:v>Bolivia</c:v>
                </c:pt>
                <c:pt idx="2">
                  <c:v>Ecuador</c:v>
                </c:pt>
                <c:pt idx="3">
                  <c:v>Paraguay</c:v>
                </c:pt>
                <c:pt idx="4">
                  <c:v>Peru</c:v>
                </c:pt>
                <c:pt idx="5">
                  <c:v>Uruguay</c:v>
                </c:pt>
              </c:strCache>
            </c:strRef>
          </c:cat>
          <c:val>
            <c:numRef>
              <c:f>('Figure 1a'!$C$20,'Figure 1a'!$C$23,'Figure 1a'!$C$26,'Figure 1a'!$C$29,'Figure 1a'!$C$32,'Figure 1a'!$C$35)</c:f>
              <c:numCache>
                <c:formatCode>General</c:formatCode>
                <c:ptCount val="6"/>
                <c:pt idx="0">
                  <c:v>0.18559999999999999</c:v>
                </c:pt>
                <c:pt idx="1">
                  <c:v>0.24049999999999999</c:v>
                </c:pt>
                <c:pt idx="2">
                  <c:v>0.1181</c:v>
                </c:pt>
                <c:pt idx="3">
                  <c:v>0.13070000000000001</c:v>
                </c:pt>
                <c:pt idx="4">
                  <c:v>0.12189999999999999</c:v>
                </c:pt>
                <c:pt idx="5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9-4EDF-BEC0-11B3F90CF26E}"/>
            </c:ext>
          </c:extLst>
        </c:ser>
        <c:ser>
          <c:idx val="2"/>
          <c:order val="2"/>
          <c:tx>
            <c:strRef>
              <c:f>'Figure 1a'!$D$19</c:f>
              <c:strCache>
                <c:ptCount val="1"/>
                <c:pt idx="0">
                  <c:v>Bilateralism, legal support</c:v>
                </c:pt>
              </c:strCache>
            </c:strRef>
          </c:tx>
          <c:spPr>
            <a:solidFill>
              <a:schemeClr val="accent3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ctr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1a'!$A$20,'Figure 1a'!$A$23,'Figure 1a'!$A$26,'Figure 1a'!$A$29,'Figure 1a'!$A$32,'Figure 1a'!$A$35)</c:f>
              <c:strCache>
                <c:ptCount val="6"/>
                <c:pt idx="0">
                  <c:v>Argentina</c:v>
                </c:pt>
                <c:pt idx="1">
                  <c:v>Bolivia</c:v>
                </c:pt>
                <c:pt idx="2">
                  <c:v>Ecuador</c:v>
                </c:pt>
                <c:pt idx="3">
                  <c:v>Paraguay</c:v>
                </c:pt>
                <c:pt idx="4">
                  <c:v>Peru</c:v>
                </c:pt>
                <c:pt idx="5">
                  <c:v>Uruguay</c:v>
                </c:pt>
              </c:strCache>
            </c:strRef>
          </c:cat>
          <c:val>
            <c:numRef>
              <c:f>('Figure 1a'!$D$20,'Figure 1a'!$D$23,'Figure 1a'!$D$26,'Figure 1a'!$D$29,'Figure 1a'!$D$32,'Figure 1a'!$D$35)</c:f>
              <c:numCache>
                <c:formatCode>General</c:formatCode>
                <c:ptCount val="6"/>
                <c:pt idx="0">
                  <c:v>0.12239999999999999</c:v>
                </c:pt>
                <c:pt idx="1">
                  <c:v>0.2235</c:v>
                </c:pt>
                <c:pt idx="2">
                  <c:v>0.22939999999999999</c:v>
                </c:pt>
                <c:pt idx="3">
                  <c:v>0.14940000000000001</c:v>
                </c:pt>
                <c:pt idx="4">
                  <c:v>0.1457</c:v>
                </c:pt>
                <c:pt idx="5">
                  <c:v>0.2001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9-4EDF-BEC0-11B3F90CF26E}"/>
            </c:ext>
          </c:extLst>
        </c:ser>
        <c:ser>
          <c:idx val="3"/>
          <c:order val="3"/>
          <c:tx>
            <c:strRef>
              <c:f>'Figure 1a'!$E$19</c:f>
              <c:strCache>
                <c:ptCount val="1"/>
                <c:pt idx="0">
                  <c:v>Strong comprehensive</c:v>
                </c:pt>
              </c:strCache>
            </c:strRef>
          </c:tx>
          <c:spPr>
            <a:solidFill>
              <a:schemeClr val="accent3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8.412197686645630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934-40CC-BAC6-97E8BBE4C41F}"/>
                </c:ext>
              </c:extLst>
            </c:dLbl>
            <c:dLbl>
              <c:idx val="1"/>
              <c:layout>
                <c:manualLayout>
                  <c:x val="0"/>
                  <c:y val="3.94477317554240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34-40CC-BAC6-97E8BBE4C41F}"/>
                </c:ext>
              </c:extLst>
            </c:dLbl>
            <c:dLbl>
              <c:idx val="2"/>
              <c:layout>
                <c:manualLayout>
                  <c:x val="0"/>
                  <c:y val="1.18343195266272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34-40CC-BAC6-97E8BBE4C41F}"/>
                </c:ext>
              </c:extLst>
            </c:dLbl>
            <c:dLbl>
              <c:idx val="3"/>
              <c:layout>
                <c:manualLayout>
                  <c:x val="0"/>
                  <c:y val="1.20956804689634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34-40CC-BAC6-97E8BBE4C41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34-40CC-BAC6-97E8BBE4C41F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1a'!$A$20,'Figure 1a'!$A$23,'Figure 1a'!$A$26,'Figure 1a'!$A$29,'Figure 1a'!$A$32,'Figure 1a'!$A$35)</c:f>
              <c:strCache>
                <c:ptCount val="6"/>
                <c:pt idx="0">
                  <c:v>Argentina</c:v>
                </c:pt>
                <c:pt idx="1">
                  <c:v>Bolivia</c:v>
                </c:pt>
                <c:pt idx="2">
                  <c:v>Ecuador</c:v>
                </c:pt>
                <c:pt idx="3">
                  <c:v>Paraguay</c:v>
                </c:pt>
                <c:pt idx="4">
                  <c:v>Peru</c:v>
                </c:pt>
                <c:pt idx="5">
                  <c:v>Uruguay</c:v>
                </c:pt>
              </c:strCache>
            </c:strRef>
          </c:cat>
          <c:val>
            <c:numRef>
              <c:f>('Figure 1a'!$E$20,'Figure 1a'!$E$23,'Figure 1a'!$E$26,'Figure 1a'!$E$29,'Figure 1a'!$E$32,'Figure 1a'!$E$35)</c:f>
              <c:numCache>
                <c:formatCode>General</c:formatCode>
                <c:ptCount val="6"/>
                <c:pt idx="0">
                  <c:v>2.12E-2</c:v>
                </c:pt>
                <c:pt idx="1">
                  <c:v>1.83E-2</c:v>
                </c:pt>
                <c:pt idx="2">
                  <c:v>5.4999999999999997E-3</c:v>
                </c:pt>
                <c:pt idx="3">
                  <c:v>6.1000000000000004E-3</c:v>
                </c:pt>
                <c:pt idx="4">
                  <c:v>1E-3</c:v>
                </c:pt>
                <c:pt idx="5">
                  <c:v>3.6999999999999998E-2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9-4EDF-BEC0-11B3F90CF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5623129981680467E-2"/>
          <c:y val="0.90947647316956048"/>
          <c:w val="0.97612022254124309"/>
          <c:h val="6.65685132553697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2a'!$C$36</c:f>
              <c:strCache>
                <c:ptCount val="1"/>
                <c:pt idx="0">
                  <c:v>Pure bilateralism</c:v>
                </c:pt>
              </c:strCache>
            </c:strRef>
          </c:tx>
          <c:spPr>
            <a:solidFill>
              <a:schemeClr val="accent3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'Figure 2a'!$A$37:$B$53</c:f>
              <c:multiLvlStrCache>
                <c:ptCount val="17"/>
                <c:lvl>
                  <c:pt idx="0">
                    <c:v>Buenos Aires</c:v>
                  </c:pt>
                  <c:pt idx="1">
                    <c:v>Cordoba</c:v>
                  </c:pt>
                  <c:pt idx="2">
                    <c:v>Mendoza</c:v>
                  </c:pt>
                  <c:pt idx="3">
                    <c:v>Rosario</c:v>
                  </c:pt>
                  <c:pt idx="4">
                    <c:v>Tucuman</c:v>
                  </c:pt>
                  <c:pt idx="5">
                    <c:v>Azuay</c:v>
                  </c:pt>
                  <c:pt idx="6">
                    <c:v>Guayas</c:v>
                  </c:pt>
                  <c:pt idx="7">
                    <c:v>Pichincha</c:v>
                  </c:pt>
                  <c:pt idx="8">
                    <c:v>Arequipa</c:v>
                  </c:pt>
                  <c:pt idx="9">
                    <c:v>Chiclayo</c:v>
                  </c:pt>
                  <c:pt idx="10">
                    <c:v>Lima</c:v>
                  </c:pt>
                  <c:pt idx="11">
                    <c:v>Piura</c:v>
                  </c:pt>
                  <c:pt idx="12">
                    <c:v>Trujillo</c:v>
                  </c:pt>
                  <c:pt idx="13">
                    <c:v>Asuncion</c:v>
                  </c:pt>
                  <c:pt idx="14">
                    <c:v>Central</c:v>
                  </c:pt>
                  <c:pt idx="15">
                    <c:v>Canelones</c:v>
                  </c:pt>
                  <c:pt idx="16">
                    <c:v>Montevideo</c:v>
                  </c:pt>
                </c:lvl>
                <c:lvl>
                  <c:pt idx="0">
                    <c:v>Argentina</c:v>
                  </c:pt>
                  <c:pt idx="5">
                    <c:v>Ecuador</c:v>
                  </c:pt>
                  <c:pt idx="8">
                    <c:v>Peru</c:v>
                  </c:pt>
                  <c:pt idx="13">
                    <c:v>Paraguay</c:v>
                  </c:pt>
                  <c:pt idx="15">
                    <c:v>Uruguay</c:v>
                  </c:pt>
                </c:lvl>
              </c:multiLvlStrCache>
            </c:multiLvlStrRef>
          </c:cat>
          <c:val>
            <c:numRef>
              <c:f>'Figure 2a'!$C$37:$C$53</c:f>
              <c:numCache>
                <c:formatCode>0.00</c:formatCode>
                <c:ptCount val="17"/>
                <c:pt idx="0">
                  <c:v>0.65410000000000001</c:v>
                </c:pt>
                <c:pt idx="1">
                  <c:v>0.62429999999999997</c:v>
                </c:pt>
                <c:pt idx="2">
                  <c:v>0.67669999999999997</c:v>
                </c:pt>
                <c:pt idx="3">
                  <c:v>0.84130000000000005</c:v>
                </c:pt>
                <c:pt idx="4">
                  <c:v>0.76400000000000001</c:v>
                </c:pt>
                <c:pt idx="5">
                  <c:v>0.80069999999999997</c:v>
                </c:pt>
                <c:pt idx="6">
                  <c:v>0.56140000000000001</c:v>
                </c:pt>
                <c:pt idx="7">
                  <c:v>0.66349999999999998</c:v>
                </c:pt>
                <c:pt idx="8">
                  <c:v>0.74009999999999998</c:v>
                </c:pt>
                <c:pt idx="9">
                  <c:v>0.78310000000000002</c:v>
                </c:pt>
                <c:pt idx="10">
                  <c:v>0.71519999999999995</c:v>
                </c:pt>
                <c:pt idx="11">
                  <c:v>0.48630000000000001</c:v>
                </c:pt>
                <c:pt idx="12">
                  <c:v>0.73599999999999999</c:v>
                </c:pt>
                <c:pt idx="13">
                  <c:v>0.66510000000000002</c:v>
                </c:pt>
                <c:pt idx="14">
                  <c:v>0.74919999999999998</c:v>
                </c:pt>
                <c:pt idx="15">
                  <c:v>0.77290000000000003</c:v>
                </c:pt>
                <c:pt idx="16">
                  <c:v>0.59450000000000003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3595-4626-AC58-47F79676B86B}"/>
            </c:ext>
          </c:extLst>
        </c:ser>
        <c:ser>
          <c:idx val="1"/>
          <c:order val="1"/>
          <c:tx>
            <c:strRef>
              <c:f>'Figure 2a'!$D$36</c:f>
              <c:strCache>
                <c:ptCount val="1"/>
                <c:pt idx="0">
                  <c:v>Bilateralism, private support</c:v>
                </c:pt>
              </c:strCache>
            </c:strRef>
          </c:tx>
          <c:spPr>
            <a:solidFill>
              <a:schemeClr val="accent3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'Figure 2a'!$A$37:$B$53</c:f>
              <c:multiLvlStrCache>
                <c:ptCount val="17"/>
                <c:lvl>
                  <c:pt idx="0">
                    <c:v>Buenos Aires</c:v>
                  </c:pt>
                  <c:pt idx="1">
                    <c:v>Cordoba</c:v>
                  </c:pt>
                  <c:pt idx="2">
                    <c:v>Mendoza</c:v>
                  </c:pt>
                  <c:pt idx="3">
                    <c:v>Rosario</c:v>
                  </c:pt>
                  <c:pt idx="4">
                    <c:v>Tucuman</c:v>
                  </c:pt>
                  <c:pt idx="5">
                    <c:v>Azuay</c:v>
                  </c:pt>
                  <c:pt idx="6">
                    <c:v>Guayas</c:v>
                  </c:pt>
                  <c:pt idx="7">
                    <c:v>Pichincha</c:v>
                  </c:pt>
                  <c:pt idx="8">
                    <c:v>Arequipa</c:v>
                  </c:pt>
                  <c:pt idx="9">
                    <c:v>Chiclayo</c:v>
                  </c:pt>
                  <c:pt idx="10">
                    <c:v>Lima</c:v>
                  </c:pt>
                  <c:pt idx="11">
                    <c:v>Piura</c:v>
                  </c:pt>
                  <c:pt idx="12">
                    <c:v>Trujillo</c:v>
                  </c:pt>
                  <c:pt idx="13">
                    <c:v>Asuncion</c:v>
                  </c:pt>
                  <c:pt idx="14">
                    <c:v>Central</c:v>
                  </c:pt>
                  <c:pt idx="15">
                    <c:v>Canelones</c:v>
                  </c:pt>
                  <c:pt idx="16">
                    <c:v>Montevideo</c:v>
                  </c:pt>
                </c:lvl>
                <c:lvl>
                  <c:pt idx="0">
                    <c:v>Argentina</c:v>
                  </c:pt>
                  <c:pt idx="5">
                    <c:v>Ecuador</c:v>
                  </c:pt>
                  <c:pt idx="8">
                    <c:v>Peru</c:v>
                  </c:pt>
                  <c:pt idx="13">
                    <c:v>Paraguay</c:v>
                  </c:pt>
                  <c:pt idx="15">
                    <c:v>Uruguay</c:v>
                  </c:pt>
                </c:lvl>
              </c:multiLvlStrCache>
            </c:multiLvlStrRef>
          </c:cat>
          <c:val>
            <c:numRef>
              <c:f>'Figure 2a'!$D$37:$D$53</c:f>
              <c:numCache>
                <c:formatCode>0.00</c:formatCode>
                <c:ptCount val="17"/>
                <c:pt idx="0">
                  <c:v>0.2</c:v>
                </c:pt>
                <c:pt idx="1">
                  <c:v>0.1113</c:v>
                </c:pt>
                <c:pt idx="2">
                  <c:v>0.1489</c:v>
                </c:pt>
                <c:pt idx="3">
                  <c:v>9.3100000000000002E-2</c:v>
                </c:pt>
                <c:pt idx="4">
                  <c:v>0.1434</c:v>
                </c:pt>
                <c:pt idx="5">
                  <c:v>0.1067</c:v>
                </c:pt>
                <c:pt idx="6">
                  <c:v>0.23269999999999999</c:v>
                </c:pt>
                <c:pt idx="7">
                  <c:v>9.2899999999999996E-2</c:v>
                </c:pt>
                <c:pt idx="8">
                  <c:v>0.1726</c:v>
                </c:pt>
                <c:pt idx="9">
                  <c:v>6.4399999999999999E-2</c:v>
                </c:pt>
                <c:pt idx="10">
                  <c:v>0.13439999999999999</c:v>
                </c:pt>
                <c:pt idx="11">
                  <c:v>0.28620000000000001</c:v>
                </c:pt>
                <c:pt idx="12">
                  <c:v>5.2200000000000003E-2</c:v>
                </c:pt>
                <c:pt idx="13">
                  <c:v>0.14610000000000001</c:v>
                </c:pt>
                <c:pt idx="14">
                  <c:v>0.13189999999999999</c:v>
                </c:pt>
                <c:pt idx="15">
                  <c:v>0.18129999999999999</c:v>
                </c:pt>
                <c:pt idx="16">
                  <c:v>0.14910000000000001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95-4626-AC58-47F79676B86B}"/>
            </c:ext>
          </c:extLst>
        </c:ser>
        <c:ser>
          <c:idx val="2"/>
          <c:order val="2"/>
          <c:tx>
            <c:strRef>
              <c:f>'Figure 2a'!$E$36</c:f>
              <c:strCache>
                <c:ptCount val="1"/>
                <c:pt idx="0">
                  <c:v>Bilateralism, legal support</c:v>
                </c:pt>
              </c:strCache>
            </c:strRef>
          </c:tx>
          <c:spPr>
            <a:solidFill>
              <a:schemeClr val="accent3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'Figure 2a'!$A$37:$B$53</c:f>
              <c:multiLvlStrCache>
                <c:ptCount val="17"/>
                <c:lvl>
                  <c:pt idx="0">
                    <c:v>Buenos Aires</c:v>
                  </c:pt>
                  <c:pt idx="1">
                    <c:v>Cordoba</c:v>
                  </c:pt>
                  <c:pt idx="2">
                    <c:v>Mendoza</c:v>
                  </c:pt>
                  <c:pt idx="3">
                    <c:v>Rosario</c:v>
                  </c:pt>
                  <c:pt idx="4">
                    <c:v>Tucuman</c:v>
                  </c:pt>
                  <c:pt idx="5">
                    <c:v>Azuay</c:v>
                  </c:pt>
                  <c:pt idx="6">
                    <c:v>Guayas</c:v>
                  </c:pt>
                  <c:pt idx="7">
                    <c:v>Pichincha</c:v>
                  </c:pt>
                  <c:pt idx="8">
                    <c:v>Arequipa</c:v>
                  </c:pt>
                  <c:pt idx="9">
                    <c:v>Chiclayo</c:v>
                  </c:pt>
                  <c:pt idx="10">
                    <c:v>Lima</c:v>
                  </c:pt>
                  <c:pt idx="11">
                    <c:v>Piura</c:v>
                  </c:pt>
                  <c:pt idx="12">
                    <c:v>Trujillo</c:v>
                  </c:pt>
                  <c:pt idx="13">
                    <c:v>Asuncion</c:v>
                  </c:pt>
                  <c:pt idx="14">
                    <c:v>Central</c:v>
                  </c:pt>
                  <c:pt idx="15">
                    <c:v>Canelones</c:v>
                  </c:pt>
                  <c:pt idx="16">
                    <c:v>Montevideo</c:v>
                  </c:pt>
                </c:lvl>
                <c:lvl>
                  <c:pt idx="0">
                    <c:v>Argentina</c:v>
                  </c:pt>
                  <c:pt idx="5">
                    <c:v>Ecuador</c:v>
                  </c:pt>
                  <c:pt idx="8">
                    <c:v>Peru</c:v>
                  </c:pt>
                  <c:pt idx="13">
                    <c:v>Paraguay</c:v>
                  </c:pt>
                  <c:pt idx="15">
                    <c:v>Uruguay</c:v>
                  </c:pt>
                </c:lvl>
              </c:multiLvlStrCache>
            </c:multiLvlStrRef>
          </c:cat>
          <c:val>
            <c:numRef>
              <c:f>'Figure 2a'!$E$37:$E$53</c:f>
              <c:numCache>
                <c:formatCode>0.00</c:formatCode>
                <c:ptCount val="17"/>
                <c:pt idx="0">
                  <c:v>0.12720000000000001</c:v>
                </c:pt>
                <c:pt idx="1">
                  <c:v>0.17899999999999999</c:v>
                </c:pt>
                <c:pt idx="2">
                  <c:v>0.1744</c:v>
                </c:pt>
                <c:pt idx="3">
                  <c:v>6.5600000000000006E-2</c:v>
                </c:pt>
                <c:pt idx="4">
                  <c:v>9.2499999999999999E-2</c:v>
                </c:pt>
                <c:pt idx="5">
                  <c:v>7.8200000000000006E-2</c:v>
                </c:pt>
                <c:pt idx="6">
                  <c:v>0.20599999999999999</c:v>
                </c:pt>
                <c:pt idx="7">
                  <c:v>0.23499999999999999</c:v>
                </c:pt>
                <c:pt idx="8">
                  <c:v>8.7400000000000005E-2</c:v>
                </c:pt>
                <c:pt idx="9">
                  <c:v>0.1525</c:v>
                </c:pt>
                <c:pt idx="10">
                  <c:v>0.15</c:v>
                </c:pt>
                <c:pt idx="11">
                  <c:v>0.18310000000000001</c:v>
                </c:pt>
                <c:pt idx="12">
                  <c:v>0.2011</c:v>
                </c:pt>
                <c:pt idx="13">
                  <c:v>0.1754</c:v>
                </c:pt>
                <c:pt idx="14">
                  <c:v>0.11890000000000001</c:v>
                </c:pt>
                <c:pt idx="15">
                  <c:v>4.5199999999999997E-2</c:v>
                </c:pt>
                <c:pt idx="16">
                  <c:v>0.21560000000000001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95-4626-AC58-47F79676B86B}"/>
            </c:ext>
          </c:extLst>
        </c:ser>
        <c:ser>
          <c:idx val="3"/>
          <c:order val="3"/>
          <c:tx>
            <c:strRef>
              <c:f>'Figure 2a'!$F$36</c:f>
              <c:strCache>
                <c:ptCount val="1"/>
                <c:pt idx="0">
                  <c:v>Strong comprehensive</c:v>
                </c:pt>
              </c:strCache>
            </c:strRef>
          </c:tx>
          <c:spPr>
            <a:solidFill>
              <a:schemeClr val="accent3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1B-4B00-8D69-1DA7689F194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1B-4B00-8D69-1DA7689F194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A1B-4B00-8D69-1DA7689F194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1B-4B00-8D69-1DA7689F194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A1B-4B00-8D69-1DA7689F194A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1B-4B00-8D69-1DA7689F194A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A1B-4B00-8D69-1DA7689F19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'Figure 2a'!$A$37:$B$53</c:f>
              <c:multiLvlStrCache>
                <c:ptCount val="17"/>
                <c:lvl>
                  <c:pt idx="0">
                    <c:v>Buenos Aires</c:v>
                  </c:pt>
                  <c:pt idx="1">
                    <c:v>Cordoba</c:v>
                  </c:pt>
                  <c:pt idx="2">
                    <c:v>Mendoza</c:v>
                  </c:pt>
                  <c:pt idx="3">
                    <c:v>Rosario</c:v>
                  </c:pt>
                  <c:pt idx="4">
                    <c:v>Tucuman</c:v>
                  </c:pt>
                  <c:pt idx="5">
                    <c:v>Azuay</c:v>
                  </c:pt>
                  <c:pt idx="6">
                    <c:v>Guayas</c:v>
                  </c:pt>
                  <c:pt idx="7">
                    <c:v>Pichincha</c:v>
                  </c:pt>
                  <c:pt idx="8">
                    <c:v>Arequipa</c:v>
                  </c:pt>
                  <c:pt idx="9">
                    <c:v>Chiclayo</c:v>
                  </c:pt>
                  <c:pt idx="10">
                    <c:v>Lima</c:v>
                  </c:pt>
                  <c:pt idx="11">
                    <c:v>Piura</c:v>
                  </c:pt>
                  <c:pt idx="12">
                    <c:v>Trujillo</c:v>
                  </c:pt>
                  <c:pt idx="13">
                    <c:v>Asuncion</c:v>
                  </c:pt>
                  <c:pt idx="14">
                    <c:v>Central</c:v>
                  </c:pt>
                  <c:pt idx="15">
                    <c:v>Canelones</c:v>
                  </c:pt>
                  <c:pt idx="16">
                    <c:v>Montevideo</c:v>
                  </c:pt>
                </c:lvl>
                <c:lvl>
                  <c:pt idx="0">
                    <c:v>Argentina</c:v>
                  </c:pt>
                  <c:pt idx="5">
                    <c:v>Ecuador</c:v>
                  </c:pt>
                  <c:pt idx="8">
                    <c:v>Peru</c:v>
                  </c:pt>
                  <c:pt idx="13">
                    <c:v>Paraguay</c:v>
                  </c:pt>
                  <c:pt idx="15">
                    <c:v>Uruguay</c:v>
                  </c:pt>
                </c:lvl>
              </c:multiLvlStrCache>
            </c:multiLvlStrRef>
          </c:cat>
          <c:val>
            <c:numRef>
              <c:f>'Figure 2a'!$F$37:$F$53</c:f>
              <c:numCache>
                <c:formatCode>0.00</c:formatCode>
                <c:ptCount val="17"/>
                <c:pt idx="0">
                  <c:v>1.8700000000000001E-2</c:v>
                </c:pt>
                <c:pt idx="1">
                  <c:v>8.5400000000000004E-2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1.4500000000000001E-2</c:v>
                </c:pt>
                <c:pt idx="6">
                  <c:v>0</c:v>
                </c:pt>
                <c:pt idx="7">
                  <c:v>8.5000000000000006E-3</c:v>
                </c:pt>
                <c:pt idx="8">
                  <c:v>0</c:v>
                </c:pt>
                <c:pt idx="9">
                  <c:v>0</c:v>
                </c:pt>
                <c:pt idx="10">
                  <c:v>4.0000000000000002E-4</c:v>
                </c:pt>
                <c:pt idx="11">
                  <c:v>4.4400000000000002E-2</c:v>
                </c:pt>
                <c:pt idx="12">
                  <c:v>1.0699999999999999E-2</c:v>
                </c:pt>
                <c:pt idx="13">
                  <c:v>1.34E-2</c:v>
                </c:pt>
                <c:pt idx="14">
                  <c:v>0</c:v>
                </c:pt>
                <c:pt idx="15">
                  <c:v>5.9999999999999995E-4</c:v>
                </c:pt>
                <c:pt idx="16">
                  <c:v>4.0800000000000003E-2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95-4626-AC58-47F79676B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  <c:extLst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9772007389551512E-2"/>
          <c:y val="0.94063807419167977"/>
          <c:w val="0.81677252611422757"/>
          <c:h val="4.37916650064518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664260717410323E-2"/>
          <c:y val="6.5998143312412244E-2"/>
          <c:w val="0.89655796150481193"/>
          <c:h val="0.67822398323444477"/>
        </c:manualLayout>
      </c:layout>
      <c:scatterChart>
        <c:scatterStyle val="lineMarker"/>
        <c:varyColors val="0"/>
        <c:ser>
          <c:idx val="1"/>
          <c:order val="0"/>
          <c:tx>
            <c:strRef>
              <c:f>'Figure 3a'!$C$7</c:f>
              <c:strCache>
                <c:ptCount val="1"/>
                <c:pt idx="0">
                  <c:v>Pure bilateralism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'Figure 3a'!$B$8:$B$262</c:f>
              <c:numCache>
                <c:formatCode>0.00</c:formatCode>
                <c:ptCount val="255"/>
                <c:pt idx="0">
                  <c:v>0</c:v>
                </c:pt>
                <c:pt idx="1">
                  <c:v>0.04</c:v>
                </c:pt>
                <c:pt idx="2">
                  <c:v>6.6600000000000006E-2</c:v>
                </c:pt>
                <c:pt idx="3">
                  <c:v>0.08</c:v>
                </c:pt>
                <c:pt idx="4">
                  <c:v>0.1066</c:v>
                </c:pt>
                <c:pt idx="5">
                  <c:v>0.12</c:v>
                </c:pt>
                <c:pt idx="6">
                  <c:v>0.13320000000000001</c:v>
                </c:pt>
                <c:pt idx="7">
                  <c:v>0.13339999999999999</c:v>
                </c:pt>
                <c:pt idx="8">
                  <c:v>0.14660000000000001</c:v>
                </c:pt>
                <c:pt idx="9">
                  <c:v>0.16</c:v>
                </c:pt>
                <c:pt idx="10">
                  <c:v>0.17319999999999999</c:v>
                </c:pt>
                <c:pt idx="11">
                  <c:v>0.1734</c:v>
                </c:pt>
                <c:pt idx="12">
                  <c:v>0.18</c:v>
                </c:pt>
                <c:pt idx="13">
                  <c:v>0.18340000000000001</c:v>
                </c:pt>
                <c:pt idx="14">
                  <c:v>0.18659999999999999</c:v>
                </c:pt>
                <c:pt idx="15">
                  <c:v>0.19980000000000001</c:v>
                </c:pt>
                <c:pt idx="16">
                  <c:v>0.2</c:v>
                </c:pt>
                <c:pt idx="17">
                  <c:v>0.2132</c:v>
                </c:pt>
                <c:pt idx="18">
                  <c:v>0.21340000000000001</c:v>
                </c:pt>
                <c:pt idx="19">
                  <c:v>0.21659999999999999</c:v>
                </c:pt>
                <c:pt idx="20">
                  <c:v>0.22339999999999999</c:v>
                </c:pt>
                <c:pt idx="21">
                  <c:v>0.2266</c:v>
                </c:pt>
                <c:pt idx="22">
                  <c:v>0.24</c:v>
                </c:pt>
                <c:pt idx="23">
                  <c:v>0.25</c:v>
                </c:pt>
                <c:pt idx="24">
                  <c:v>0.25319999999999998</c:v>
                </c:pt>
                <c:pt idx="25">
                  <c:v>0.25340000000000001</c:v>
                </c:pt>
                <c:pt idx="26">
                  <c:v>0.26340000000000002</c:v>
                </c:pt>
                <c:pt idx="27">
                  <c:v>0.2666</c:v>
                </c:pt>
                <c:pt idx="28">
                  <c:v>0.26679999999999998</c:v>
                </c:pt>
                <c:pt idx="29">
                  <c:v>0.27660000000000001</c:v>
                </c:pt>
                <c:pt idx="30">
                  <c:v>0.28000000000000003</c:v>
                </c:pt>
                <c:pt idx="31">
                  <c:v>0.28660000000000002</c:v>
                </c:pt>
                <c:pt idx="32">
                  <c:v>0.29320000000000002</c:v>
                </c:pt>
                <c:pt idx="33">
                  <c:v>0.29339999999999999</c:v>
                </c:pt>
                <c:pt idx="34">
                  <c:v>0.30659999999999998</c:v>
                </c:pt>
                <c:pt idx="35">
                  <c:v>0.30680000000000002</c:v>
                </c:pt>
                <c:pt idx="36">
                  <c:v>0.31659999999999999</c:v>
                </c:pt>
                <c:pt idx="37">
                  <c:v>0.31979999999999997</c:v>
                </c:pt>
                <c:pt idx="38">
                  <c:v>0.32</c:v>
                </c:pt>
                <c:pt idx="39">
                  <c:v>0.32319999999999999</c:v>
                </c:pt>
                <c:pt idx="40">
                  <c:v>0.33</c:v>
                </c:pt>
                <c:pt idx="41">
                  <c:v>0.3332</c:v>
                </c:pt>
                <c:pt idx="42">
                  <c:v>0.33339999999999997</c:v>
                </c:pt>
                <c:pt idx="43">
                  <c:v>0.34339999999999998</c:v>
                </c:pt>
                <c:pt idx="44">
                  <c:v>0.34660000000000002</c:v>
                </c:pt>
                <c:pt idx="45">
                  <c:v>0.3468</c:v>
                </c:pt>
                <c:pt idx="46">
                  <c:v>0.35</c:v>
                </c:pt>
                <c:pt idx="47">
                  <c:v>0.35339999999999999</c:v>
                </c:pt>
                <c:pt idx="48">
                  <c:v>0.35680000000000001</c:v>
                </c:pt>
                <c:pt idx="49">
                  <c:v>0.35980000000000001</c:v>
                </c:pt>
                <c:pt idx="50">
                  <c:v>0.36</c:v>
                </c:pt>
                <c:pt idx="51">
                  <c:v>0.3634</c:v>
                </c:pt>
                <c:pt idx="52">
                  <c:v>0.36659999999999998</c:v>
                </c:pt>
                <c:pt idx="53">
                  <c:v>0.37319999999999998</c:v>
                </c:pt>
                <c:pt idx="54">
                  <c:v>0.37340000000000001</c:v>
                </c:pt>
                <c:pt idx="55">
                  <c:v>0.37659999999999999</c:v>
                </c:pt>
                <c:pt idx="56">
                  <c:v>0.38</c:v>
                </c:pt>
                <c:pt idx="57">
                  <c:v>0.38319999999999999</c:v>
                </c:pt>
                <c:pt idx="58">
                  <c:v>0.38340000000000002</c:v>
                </c:pt>
                <c:pt idx="59">
                  <c:v>0.3866</c:v>
                </c:pt>
                <c:pt idx="60">
                  <c:v>0.38679999999999998</c:v>
                </c:pt>
                <c:pt idx="61">
                  <c:v>0.38979999999999998</c:v>
                </c:pt>
                <c:pt idx="62">
                  <c:v>0.39</c:v>
                </c:pt>
                <c:pt idx="63">
                  <c:v>0.39319999999999999</c:v>
                </c:pt>
                <c:pt idx="64">
                  <c:v>0.39340000000000003</c:v>
                </c:pt>
                <c:pt idx="65">
                  <c:v>0.39660000000000001</c:v>
                </c:pt>
                <c:pt idx="66">
                  <c:v>0.39679999999999999</c:v>
                </c:pt>
                <c:pt idx="67">
                  <c:v>0.39979999999999999</c:v>
                </c:pt>
                <c:pt idx="68">
                  <c:v>0.4</c:v>
                </c:pt>
                <c:pt idx="69">
                  <c:v>0.4002</c:v>
                </c:pt>
                <c:pt idx="70">
                  <c:v>0.41</c:v>
                </c:pt>
                <c:pt idx="71">
                  <c:v>0.41320000000000001</c:v>
                </c:pt>
                <c:pt idx="72">
                  <c:v>0.41339999999999999</c:v>
                </c:pt>
                <c:pt idx="73">
                  <c:v>0.41660000000000003</c:v>
                </c:pt>
                <c:pt idx="74">
                  <c:v>0.4234</c:v>
                </c:pt>
                <c:pt idx="75">
                  <c:v>0.42659999999999998</c:v>
                </c:pt>
                <c:pt idx="76">
                  <c:v>0.42680000000000001</c:v>
                </c:pt>
                <c:pt idx="77">
                  <c:v>0.43340000000000001</c:v>
                </c:pt>
                <c:pt idx="78">
                  <c:v>0.44</c:v>
                </c:pt>
                <c:pt idx="79">
                  <c:v>0.44019999999999998</c:v>
                </c:pt>
                <c:pt idx="80">
                  <c:v>0.44319999999999998</c:v>
                </c:pt>
                <c:pt idx="81">
                  <c:v>0.44340000000000002</c:v>
                </c:pt>
                <c:pt idx="82">
                  <c:v>0.4466</c:v>
                </c:pt>
                <c:pt idx="83">
                  <c:v>0.44679999999999997</c:v>
                </c:pt>
                <c:pt idx="84">
                  <c:v>0.45</c:v>
                </c:pt>
                <c:pt idx="85">
                  <c:v>0.45019999999999999</c:v>
                </c:pt>
                <c:pt idx="86">
                  <c:v>0.45319999999999999</c:v>
                </c:pt>
                <c:pt idx="87">
                  <c:v>0.45340000000000003</c:v>
                </c:pt>
                <c:pt idx="88">
                  <c:v>0.45979999999999999</c:v>
                </c:pt>
                <c:pt idx="89">
                  <c:v>0.46</c:v>
                </c:pt>
                <c:pt idx="90">
                  <c:v>0.46339999999999998</c:v>
                </c:pt>
                <c:pt idx="91">
                  <c:v>0.46660000000000001</c:v>
                </c:pt>
                <c:pt idx="92">
                  <c:v>0.46679999999999999</c:v>
                </c:pt>
                <c:pt idx="93">
                  <c:v>0.4698</c:v>
                </c:pt>
                <c:pt idx="94">
                  <c:v>0.47</c:v>
                </c:pt>
                <c:pt idx="95">
                  <c:v>0.47660000000000002</c:v>
                </c:pt>
                <c:pt idx="96">
                  <c:v>0.4768</c:v>
                </c:pt>
                <c:pt idx="97">
                  <c:v>0.48</c:v>
                </c:pt>
                <c:pt idx="98">
                  <c:v>0.48020000000000002</c:v>
                </c:pt>
                <c:pt idx="99">
                  <c:v>0.48320000000000002</c:v>
                </c:pt>
                <c:pt idx="100">
                  <c:v>0.4834</c:v>
                </c:pt>
                <c:pt idx="101">
                  <c:v>0.49</c:v>
                </c:pt>
                <c:pt idx="102">
                  <c:v>0.49320000000000003</c:v>
                </c:pt>
                <c:pt idx="103">
                  <c:v>0.49340000000000001</c:v>
                </c:pt>
                <c:pt idx="104">
                  <c:v>0.49659999999999999</c:v>
                </c:pt>
                <c:pt idx="105">
                  <c:v>0.49680000000000002</c:v>
                </c:pt>
                <c:pt idx="106">
                  <c:v>0.5</c:v>
                </c:pt>
                <c:pt idx="107">
                  <c:v>0.50660000000000005</c:v>
                </c:pt>
                <c:pt idx="108">
                  <c:v>0.50680000000000003</c:v>
                </c:pt>
                <c:pt idx="109">
                  <c:v>0.51</c:v>
                </c:pt>
                <c:pt idx="110">
                  <c:v>0.51659999999999995</c:v>
                </c:pt>
                <c:pt idx="111">
                  <c:v>0.51680000000000004</c:v>
                </c:pt>
                <c:pt idx="112">
                  <c:v>0.52</c:v>
                </c:pt>
                <c:pt idx="113">
                  <c:v>0.5202</c:v>
                </c:pt>
                <c:pt idx="114">
                  <c:v>0.52339999999999998</c:v>
                </c:pt>
                <c:pt idx="115">
                  <c:v>0.52659999999999996</c:v>
                </c:pt>
                <c:pt idx="116">
                  <c:v>0.52680000000000005</c:v>
                </c:pt>
                <c:pt idx="117">
                  <c:v>0.53</c:v>
                </c:pt>
                <c:pt idx="118">
                  <c:v>0.53320000000000001</c:v>
                </c:pt>
                <c:pt idx="119">
                  <c:v>0.53339999999999999</c:v>
                </c:pt>
                <c:pt idx="120">
                  <c:v>0.53659999999999997</c:v>
                </c:pt>
                <c:pt idx="121">
                  <c:v>0.54</c:v>
                </c:pt>
                <c:pt idx="122">
                  <c:v>0.54320000000000002</c:v>
                </c:pt>
                <c:pt idx="123">
                  <c:v>0.54339999999999999</c:v>
                </c:pt>
                <c:pt idx="124">
                  <c:v>0.54659999999999997</c:v>
                </c:pt>
                <c:pt idx="125">
                  <c:v>0.54679999999999995</c:v>
                </c:pt>
                <c:pt idx="126">
                  <c:v>0.55000000000000004</c:v>
                </c:pt>
                <c:pt idx="127">
                  <c:v>0.55320000000000003</c:v>
                </c:pt>
                <c:pt idx="128">
                  <c:v>0.56000000000000005</c:v>
                </c:pt>
                <c:pt idx="129">
                  <c:v>0.56020000000000003</c:v>
                </c:pt>
                <c:pt idx="130">
                  <c:v>0.56340000000000001</c:v>
                </c:pt>
                <c:pt idx="131">
                  <c:v>0.56659999999999999</c:v>
                </c:pt>
                <c:pt idx="132">
                  <c:v>0.56679999999999997</c:v>
                </c:pt>
                <c:pt idx="133">
                  <c:v>0.56999999999999995</c:v>
                </c:pt>
                <c:pt idx="134">
                  <c:v>0.57320000000000004</c:v>
                </c:pt>
                <c:pt idx="135">
                  <c:v>0.57340000000000002</c:v>
                </c:pt>
                <c:pt idx="136">
                  <c:v>0.5766</c:v>
                </c:pt>
                <c:pt idx="137">
                  <c:v>0.57679999999999998</c:v>
                </c:pt>
                <c:pt idx="138">
                  <c:v>0.57999999999999996</c:v>
                </c:pt>
                <c:pt idx="139">
                  <c:v>0.58020000000000005</c:v>
                </c:pt>
                <c:pt idx="140">
                  <c:v>0.58320000000000005</c:v>
                </c:pt>
                <c:pt idx="141">
                  <c:v>0.58340000000000003</c:v>
                </c:pt>
                <c:pt idx="142">
                  <c:v>0.58660000000000001</c:v>
                </c:pt>
                <c:pt idx="143">
                  <c:v>0.58679999999999999</c:v>
                </c:pt>
                <c:pt idx="144">
                  <c:v>0.59319999999999995</c:v>
                </c:pt>
                <c:pt idx="145">
                  <c:v>0.59340000000000004</c:v>
                </c:pt>
                <c:pt idx="146">
                  <c:v>0.59660000000000002</c:v>
                </c:pt>
                <c:pt idx="147">
                  <c:v>0.5968</c:v>
                </c:pt>
                <c:pt idx="148">
                  <c:v>0.5998</c:v>
                </c:pt>
                <c:pt idx="149">
                  <c:v>0.6</c:v>
                </c:pt>
                <c:pt idx="150">
                  <c:v>0.60019999999999996</c:v>
                </c:pt>
                <c:pt idx="151">
                  <c:v>0.60319999999999996</c:v>
                </c:pt>
                <c:pt idx="152">
                  <c:v>0.60340000000000005</c:v>
                </c:pt>
                <c:pt idx="153">
                  <c:v>0.60680000000000001</c:v>
                </c:pt>
                <c:pt idx="154">
                  <c:v>0.61</c:v>
                </c:pt>
                <c:pt idx="155">
                  <c:v>0.61019999999999996</c:v>
                </c:pt>
                <c:pt idx="156">
                  <c:v>0.61319999999999997</c:v>
                </c:pt>
                <c:pt idx="157">
                  <c:v>0.61339999999999995</c:v>
                </c:pt>
                <c:pt idx="158">
                  <c:v>0.61660000000000004</c:v>
                </c:pt>
                <c:pt idx="159">
                  <c:v>0.61680000000000001</c:v>
                </c:pt>
                <c:pt idx="160">
                  <c:v>0.62</c:v>
                </c:pt>
                <c:pt idx="161">
                  <c:v>0.62019999999999997</c:v>
                </c:pt>
                <c:pt idx="162">
                  <c:v>0.62339999999999995</c:v>
                </c:pt>
                <c:pt idx="163">
                  <c:v>0.62660000000000005</c:v>
                </c:pt>
                <c:pt idx="164">
                  <c:v>0.62680000000000002</c:v>
                </c:pt>
                <c:pt idx="165">
                  <c:v>0.63</c:v>
                </c:pt>
                <c:pt idx="166">
                  <c:v>0.63319999999999999</c:v>
                </c:pt>
                <c:pt idx="167">
                  <c:v>0.63339999999999996</c:v>
                </c:pt>
                <c:pt idx="168">
                  <c:v>0.63680000000000003</c:v>
                </c:pt>
                <c:pt idx="169">
                  <c:v>0.64</c:v>
                </c:pt>
                <c:pt idx="170">
                  <c:v>0.64319999999999999</c:v>
                </c:pt>
                <c:pt idx="171">
                  <c:v>0.64339999999999997</c:v>
                </c:pt>
                <c:pt idx="172">
                  <c:v>0.64659999999999995</c:v>
                </c:pt>
                <c:pt idx="173">
                  <c:v>0.65</c:v>
                </c:pt>
                <c:pt idx="174">
                  <c:v>0.6502</c:v>
                </c:pt>
                <c:pt idx="175">
                  <c:v>0.6532</c:v>
                </c:pt>
                <c:pt idx="176">
                  <c:v>0.65339999999999998</c:v>
                </c:pt>
                <c:pt idx="177">
                  <c:v>0.66</c:v>
                </c:pt>
                <c:pt idx="178">
                  <c:v>0.66020000000000001</c:v>
                </c:pt>
                <c:pt idx="179">
                  <c:v>0.66339999999999999</c:v>
                </c:pt>
                <c:pt idx="180">
                  <c:v>0.66659999999999997</c:v>
                </c:pt>
                <c:pt idx="181">
                  <c:v>0.66679999999999995</c:v>
                </c:pt>
                <c:pt idx="182">
                  <c:v>0.67</c:v>
                </c:pt>
                <c:pt idx="183">
                  <c:v>0.67659999999999998</c:v>
                </c:pt>
                <c:pt idx="184">
                  <c:v>0.67679999999999996</c:v>
                </c:pt>
                <c:pt idx="185">
                  <c:v>0.68</c:v>
                </c:pt>
                <c:pt idx="186">
                  <c:v>0.68020000000000003</c:v>
                </c:pt>
                <c:pt idx="187">
                  <c:v>0.68320000000000003</c:v>
                </c:pt>
                <c:pt idx="188">
                  <c:v>0.68340000000000001</c:v>
                </c:pt>
                <c:pt idx="189">
                  <c:v>0.68679999999999997</c:v>
                </c:pt>
                <c:pt idx="190">
                  <c:v>0.69320000000000004</c:v>
                </c:pt>
                <c:pt idx="191">
                  <c:v>0.69340000000000002</c:v>
                </c:pt>
                <c:pt idx="192">
                  <c:v>0.6966</c:v>
                </c:pt>
                <c:pt idx="193">
                  <c:v>0.69679999999999997</c:v>
                </c:pt>
                <c:pt idx="194">
                  <c:v>0.7</c:v>
                </c:pt>
                <c:pt idx="195">
                  <c:v>0.70020000000000004</c:v>
                </c:pt>
                <c:pt idx="196">
                  <c:v>0.70679999999999998</c:v>
                </c:pt>
                <c:pt idx="197">
                  <c:v>0.71</c:v>
                </c:pt>
                <c:pt idx="198">
                  <c:v>0.71020000000000005</c:v>
                </c:pt>
                <c:pt idx="199">
                  <c:v>0.71340000000000003</c:v>
                </c:pt>
                <c:pt idx="200">
                  <c:v>0.71660000000000001</c:v>
                </c:pt>
                <c:pt idx="201">
                  <c:v>0.71679999999999999</c:v>
                </c:pt>
                <c:pt idx="202">
                  <c:v>0.72</c:v>
                </c:pt>
                <c:pt idx="203">
                  <c:v>0.72660000000000002</c:v>
                </c:pt>
                <c:pt idx="204">
                  <c:v>0.7268</c:v>
                </c:pt>
                <c:pt idx="205">
                  <c:v>0.73</c:v>
                </c:pt>
                <c:pt idx="206">
                  <c:v>0.73319999999999996</c:v>
                </c:pt>
                <c:pt idx="207">
                  <c:v>0.73340000000000005</c:v>
                </c:pt>
                <c:pt idx="208">
                  <c:v>0.73660000000000003</c:v>
                </c:pt>
                <c:pt idx="209">
                  <c:v>0.73680000000000001</c:v>
                </c:pt>
                <c:pt idx="210">
                  <c:v>0.74339999999999995</c:v>
                </c:pt>
                <c:pt idx="211">
                  <c:v>0.74660000000000004</c:v>
                </c:pt>
                <c:pt idx="212">
                  <c:v>0.74680000000000002</c:v>
                </c:pt>
                <c:pt idx="213">
                  <c:v>0.75</c:v>
                </c:pt>
                <c:pt idx="214">
                  <c:v>0.75019999999999998</c:v>
                </c:pt>
                <c:pt idx="215">
                  <c:v>0.76</c:v>
                </c:pt>
                <c:pt idx="216">
                  <c:v>0.76019999999999999</c:v>
                </c:pt>
                <c:pt idx="217">
                  <c:v>0.76339999999999997</c:v>
                </c:pt>
                <c:pt idx="218">
                  <c:v>0.76659999999999995</c:v>
                </c:pt>
                <c:pt idx="219">
                  <c:v>0.76680000000000004</c:v>
                </c:pt>
                <c:pt idx="220">
                  <c:v>0.77339999999999998</c:v>
                </c:pt>
                <c:pt idx="221">
                  <c:v>0.77659999999999996</c:v>
                </c:pt>
                <c:pt idx="222">
                  <c:v>0.77680000000000005</c:v>
                </c:pt>
                <c:pt idx="223">
                  <c:v>0.78</c:v>
                </c:pt>
                <c:pt idx="224">
                  <c:v>0.78339999999999999</c:v>
                </c:pt>
                <c:pt idx="225">
                  <c:v>0.78659999999999997</c:v>
                </c:pt>
                <c:pt idx="226">
                  <c:v>0.78680000000000005</c:v>
                </c:pt>
                <c:pt idx="227">
                  <c:v>0.79339999999999999</c:v>
                </c:pt>
                <c:pt idx="228">
                  <c:v>0.8</c:v>
                </c:pt>
                <c:pt idx="229">
                  <c:v>0.80020000000000002</c:v>
                </c:pt>
                <c:pt idx="230">
                  <c:v>0.8034</c:v>
                </c:pt>
                <c:pt idx="231">
                  <c:v>0.81</c:v>
                </c:pt>
                <c:pt idx="232">
                  <c:v>0.81340000000000001</c:v>
                </c:pt>
                <c:pt idx="233">
                  <c:v>0.81659999999999999</c:v>
                </c:pt>
                <c:pt idx="234">
                  <c:v>0.81679999999999997</c:v>
                </c:pt>
                <c:pt idx="235">
                  <c:v>0.8266</c:v>
                </c:pt>
                <c:pt idx="236">
                  <c:v>0.82679999999999998</c:v>
                </c:pt>
                <c:pt idx="237">
                  <c:v>0.83</c:v>
                </c:pt>
                <c:pt idx="238">
                  <c:v>0.83340000000000003</c:v>
                </c:pt>
                <c:pt idx="239">
                  <c:v>0.84340000000000004</c:v>
                </c:pt>
                <c:pt idx="240">
                  <c:v>0.85</c:v>
                </c:pt>
                <c:pt idx="241">
                  <c:v>0.85340000000000005</c:v>
                </c:pt>
                <c:pt idx="242">
                  <c:v>0.86</c:v>
                </c:pt>
                <c:pt idx="243">
                  <c:v>0.86660000000000004</c:v>
                </c:pt>
                <c:pt idx="244">
                  <c:v>0.86680000000000001</c:v>
                </c:pt>
                <c:pt idx="245">
                  <c:v>0.87</c:v>
                </c:pt>
                <c:pt idx="246">
                  <c:v>0.88</c:v>
                </c:pt>
                <c:pt idx="247">
                  <c:v>0.88339999999999996</c:v>
                </c:pt>
                <c:pt idx="248">
                  <c:v>0.89339999999999997</c:v>
                </c:pt>
                <c:pt idx="249">
                  <c:v>0.9</c:v>
                </c:pt>
                <c:pt idx="250">
                  <c:v>0.91</c:v>
                </c:pt>
                <c:pt idx="251">
                  <c:v>0.93340000000000001</c:v>
                </c:pt>
                <c:pt idx="252">
                  <c:v>0.95</c:v>
                </c:pt>
                <c:pt idx="253">
                  <c:v>0.96</c:v>
                </c:pt>
                <c:pt idx="254">
                  <c:v>1</c:v>
                </c:pt>
              </c:numCache>
            </c:numRef>
          </c:xVal>
          <c:yVal>
            <c:numRef>
              <c:f>'Figure 3a'!$C$8:$C$262</c:f>
              <c:numCache>
                <c:formatCode>General</c:formatCode>
                <c:ptCount val="255"/>
                <c:pt idx="0">
                  <c:v>0.75819999999999999</c:v>
                </c:pt>
                <c:pt idx="1">
                  <c:v>0.75229999999999997</c:v>
                </c:pt>
                <c:pt idx="2">
                  <c:v>0.74829999999999997</c:v>
                </c:pt>
                <c:pt idx="3">
                  <c:v>0.74619999999999997</c:v>
                </c:pt>
                <c:pt idx="4">
                  <c:v>0.7419</c:v>
                </c:pt>
                <c:pt idx="5">
                  <c:v>0.73970000000000002</c:v>
                </c:pt>
                <c:pt idx="6">
                  <c:v>0.73750000000000004</c:v>
                </c:pt>
                <c:pt idx="7">
                  <c:v>0.73750000000000004</c:v>
                </c:pt>
                <c:pt idx="8">
                  <c:v>0.73529999999999995</c:v>
                </c:pt>
                <c:pt idx="9">
                  <c:v>0.73299999999999998</c:v>
                </c:pt>
                <c:pt idx="10">
                  <c:v>0.73070000000000002</c:v>
                </c:pt>
                <c:pt idx="11">
                  <c:v>0.73070000000000002</c:v>
                </c:pt>
                <c:pt idx="12">
                  <c:v>0.72950000000000004</c:v>
                </c:pt>
                <c:pt idx="13">
                  <c:v>0.72889999999999999</c:v>
                </c:pt>
                <c:pt idx="14">
                  <c:v>0.72840000000000005</c:v>
                </c:pt>
                <c:pt idx="15">
                  <c:v>0.72599999999999998</c:v>
                </c:pt>
                <c:pt idx="16">
                  <c:v>0.72599999999999998</c:v>
                </c:pt>
                <c:pt idx="17">
                  <c:v>0.72360000000000002</c:v>
                </c:pt>
                <c:pt idx="18">
                  <c:v>0.72360000000000002</c:v>
                </c:pt>
                <c:pt idx="19">
                  <c:v>0.72299999999999998</c:v>
                </c:pt>
                <c:pt idx="20">
                  <c:v>0.7218</c:v>
                </c:pt>
                <c:pt idx="21">
                  <c:v>0.72119999999999995</c:v>
                </c:pt>
                <c:pt idx="22">
                  <c:v>0.71870000000000001</c:v>
                </c:pt>
                <c:pt idx="23">
                  <c:v>0.71689999999999998</c:v>
                </c:pt>
                <c:pt idx="24">
                  <c:v>0.71630000000000005</c:v>
                </c:pt>
                <c:pt idx="25">
                  <c:v>0.71619999999999995</c:v>
                </c:pt>
                <c:pt idx="26">
                  <c:v>0.71440000000000003</c:v>
                </c:pt>
                <c:pt idx="27">
                  <c:v>0.7137</c:v>
                </c:pt>
                <c:pt idx="28">
                  <c:v>0.7137</c:v>
                </c:pt>
                <c:pt idx="29">
                  <c:v>0.71179999999999999</c:v>
                </c:pt>
                <c:pt idx="30">
                  <c:v>0.71120000000000005</c:v>
                </c:pt>
                <c:pt idx="31">
                  <c:v>0.70989999999999998</c:v>
                </c:pt>
                <c:pt idx="32">
                  <c:v>0.70860000000000001</c:v>
                </c:pt>
                <c:pt idx="33">
                  <c:v>0.70860000000000001</c:v>
                </c:pt>
                <c:pt idx="34">
                  <c:v>0.70599999999999996</c:v>
                </c:pt>
                <c:pt idx="35">
                  <c:v>0.70599999999999996</c:v>
                </c:pt>
                <c:pt idx="36">
                  <c:v>0.70409999999999995</c:v>
                </c:pt>
                <c:pt idx="37">
                  <c:v>0.70340000000000003</c:v>
                </c:pt>
                <c:pt idx="38">
                  <c:v>0.70340000000000003</c:v>
                </c:pt>
                <c:pt idx="39">
                  <c:v>0.70279999999999998</c:v>
                </c:pt>
                <c:pt idx="40">
                  <c:v>0.70140000000000002</c:v>
                </c:pt>
                <c:pt idx="41">
                  <c:v>0.70079999999999998</c:v>
                </c:pt>
                <c:pt idx="42">
                  <c:v>0.70069999999999999</c:v>
                </c:pt>
                <c:pt idx="43">
                  <c:v>0.69869999999999999</c:v>
                </c:pt>
                <c:pt idx="44">
                  <c:v>0.69810000000000005</c:v>
                </c:pt>
                <c:pt idx="45">
                  <c:v>0.69799999999999995</c:v>
                </c:pt>
                <c:pt idx="46">
                  <c:v>0.69740000000000002</c:v>
                </c:pt>
                <c:pt idx="47">
                  <c:v>0.69669999999999999</c:v>
                </c:pt>
                <c:pt idx="48">
                  <c:v>0.69599999999999995</c:v>
                </c:pt>
                <c:pt idx="49">
                  <c:v>0.69540000000000002</c:v>
                </c:pt>
                <c:pt idx="50">
                  <c:v>0.69530000000000003</c:v>
                </c:pt>
                <c:pt idx="51">
                  <c:v>0.6946</c:v>
                </c:pt>
                <c:pt idx="52">
                  <c:v>0.69399999999999995</c:v>
                </c:pt>
                <c:pt idx="53">
                  <c:v>0.69259999999999999</c:v>
                </c:pt>
                <c:pt idx="54">
                  <c:v>0.69259999999999999</c:v>
                </c:pt>
                <c:pt idx="55">
                  <c:v>0.69189999999999996</c:v>
                </c:pt>
                <c:pt idx="56">
                  <c:v>0.69120000000000004</c:v>
                </c:pt>
                <c:pt idx="57">
                  <c:v>0.69059999999999999</c:v>
                </c:pt>
                <c:pt idx="58">
                  <c:v>0.6905</c:v>
                </c:pt>
                <c:pt idx="59">
                  <c:v>0.68979999999999997</c:v>
                </c:pt>
                <c:pt idx="60">
                  <c:v>0.68979999999999997</c:v>
                </c:pt>
                <c:pt idx="61">
                  <c:v>0.68920000000000003</c:v>
                </c:pt>
                <c:pt idx="62">
                  <c:v>0.68910000000000005</c:v>
                </c:pt>
                <c:pt idx="63">
                  <c:v>0.6885</c:v>
                </c:pt>
                <c:pt idx="64">
                  <c:v>0.68840000000000001</c:v>
                </c:pt>
                <c:pt idx="65">
                  <c:v>0.68779999999999997</c:v>
                </c:pt>
                <c:pt idx="66">
                  <c:v>0.68769999999999998</c:v>
                </c:pt>
                <c:pt idx="67">
                  <c:v>0.68710000000000004</c:v>
                </c:pt>
                <c:pt idx="68">
                  <c:v>0.68700000000000006</c:v>
                </c:pt>
                <c:pt idx="69">
                  <c:v>0.68700000000000006</c:v>
                </c:pt>
                <c:pt idx="70">
                  <c:v>0.68489999999999995</c:v>
                </c:pt>
                <c:pt idx="71">
                  <c:v>0.68420000000000003</c:v>
                </c:pt>
                <c:pt idx="72">
                  <c:v>0.68420000000000003</c:v>
                </c:pt>
                <c:pt idx="73">
                  <c:v>0.6835</c:v>
                </c:pt>
                <c:pt idx="74">
                  <c:v>0.68210000000000004</c:v>
                </c:pt>
                <c:pt idx="75">
                  <c:v>0.68140000000000001</c:v>
                </c:pt>
                <c:pt idx="76">
                  <c:v>0.68130000000000002</c:v>
                </c:pt>
                <c:pt idx="77">
                  <c:v>0.67989999999999995</c:v>
                </c:pt>
                <c:pt idx="78">
                  <c:v>0.67849999999999999</c:v>
                </c:pt>
                <c:pt idx="79">
                  <c:v>0.67849999999999999</c:v>
                </c:pt>
                <c:pt idx="80">
                  <c:v>0.67779999999999996</c:v>
                </c:pt>
                <c:pt idx="81">
                  <c:v>0.67779999999999996</c:v>
                </c:pt>
                <c:pt idx="82">
                  <c:v>0.67710000000000004</c:v>
                </c:pt>
                <c:pt idx="83">
                  <c:v>0.67700000000000005</c:v>
                </c:pt>
                <c:pt idx="84">
                  <c:v>0.67630000000000001</c:v>
                </c:pt>
                <c:pt idx="85">
                  <c:v>0.67630000000000001</c:v>
                </c:pt>
                <c:pt idx="86">
                  <c:v>0.67559999999999998</c:v>
                </c:pt>
                <c:pt idx="87">
                  <c:v>0.67559999999999998</c:v>
                </c:pt>
                <c:pt idx="88">
                  <c:v>0.67420000000000002</c:v>
                </c:pt>
                <c:pt idx="89">
                  <c:v>0.67410000000000003</c:v>
                </c:pt>
                <c:pt idx="90">
                  <c:v>0.6734</c:v>
                </c:pt>
                <c:pt idx="91">
                  <c:v>0.67269999999999996</c:v>
                </c:pt>
                <c:pt idx="92">
                  <c:v>0.67269999999999996</c:v>
                </c:pt>
                <c:pt idx="93">
                  <c:v>0.67200000000000004</c:v>
                </c:pt>
                <c:pt idx="94">
                  <c:v>0.67200000000000004</c:v>
                </c:pt>
                <c:pt idx="95">
                  <c:v>0.67049999999999998</c:v>
                </c:pt>
                <c:pt idx="96">
                  <c:v>0.6704</c:v>
                </c:pt>
                <c:pt idx="97">
                  <c:v>0.66969999999999996</c:v>
                </c:pt>
                <c:pt idx="98">
                  <c:v>0.66969999999999996</c:v>
                </c:pt>
                <c:pt idx="99">
                  <c:v>0.66900000000000004</c:v>
                </c:pt>
                <c:pt idx="100">
                  <c:v>0.66900000000000004</c:v>
                </c:pt>
                <c:pt idx="101">
                  <c:v>0.66749999999999998</c:v>
                </c:pt>
                <c:pt idx="102">
                  <c:v>0.66679999999999995</c:v>
                </c:pt>
                <c:pt idx="103">
                  <c:v>0.66679999999999995</c:v>
                </c:pt>
                <c:pt idx="104">
                  <c:v>0.66600000000000004</c:v>
                </c:pt>
                <c:pt idx="105">
                  <c:v>0.66600000000000004</c:v>
                </c:pt>
                <c:pt idx="106">
                  <c:v>0.6653</c:v>
                </c:pt>
                <c:pt idx="107">
                  <c:v>0.66379999999999995</c:v>
                </c:pt>
                <c:pt idx="108">
                  <c:v>0.66369999999999996</c:v>
                </c:pt>
                <c:pt idx="109">
                  <c:v>0.66300000000000003</c:v>
                </c:pt>
                <c:pt idx="110">
                  <c:v>0.66149999999999998</c:v>
                </c:pt>
                <c:pt idx="111">
                  <c:v>0.66149999999999998</c:v>
                </c:pt>
                <c:pt idx="112">
                  <c:v>0.66080000000000005</c:v>
                </c:pt>
                <c:pt idx="113">
                  <c:v>0.66069999999999995</c:v>
                </c:pt>
                <c:pt idx="114">
                  <c:v>0.66</c:v>
                </c:pt>
                <c:pt idx="115">
                  <c:v>0.6593</c:v>
                </c:pt>
                <c:pt idx="116">
                  <c:v>0.65920000000000001</c:v>
                </c:pt>
                <c:pt idx="117">
                  <c:v>0.65849999999999997</c:v>
                </c:pt>
                <c:pt idx="118">
                  <c:v>0.65769999999999995</c:v>
                </c:pt>
                <c:pt idx="119">
                  <c:v>0.65769999999999995</c:v>
                </c:pt>
                <c:pt idx="120">
                  <c:v>0.65700000000000003</c:v>
                </c:pt>
                <c:pt idx="121">
                  <c:v>0.65620000000000001</c:v>
                </c:pt>
                <c:pt idx="122">
                  <c:v>0.65539999999999998</c:v>
                </c:pt>
                <c:pt idx="123">
                  <c:v>0.65539999999999998</c:v>
                </c:pt>
                <c:pt idx="124">
                  <c:v>0.65469999999999995</c:v>
                </c:pt>
                <c:pt idx="125">
                  <c:v>0.65459999999999996</c:v>
                </c:pt>
                <c:pt idx="126">
                  <c:v>0.65390000000000004</c:v>
                </c:pt>
                <c:pt idx="127">
                  <c:v>0.65310000000000001</c:v>
                </c:pt>
                <c:pt idx="128">
                  <c:v>0.65159999999999996</c:v>
                </c:pt>
                <c:pt idx="129">
                  <c:v>0.65149999999999997</c:v>
                </c:pt>
                <c:pt idx="130">
                  <c:v>0.65080000000000005</c:v>
                </c:pt>
                <c:pt idx="131">
                  <c:v>0.65</c:v>
                </c:pt>
                <c:pt idx="132">
                  <c:v>0.65</c:v>
                </c:pt>
                <c:pt idx="133">
                  <c:v>0.6492</c:v>
                </c:pt>
                <c:pt idx="134">
                  <c:v>0.64849999999999997</c:v>
                </c:pt>
                <c:pt idx="135">
                  <c:v>0.64839999999999998</c:v>
                </c:pt>
                <c:pt idx="136">
                  <c:v>0.64770000000000005</c:v>
                </c:pt>
                <c:pt idx="137">
                  <c:v>0.64759999999999995</c:v>
                </c:pt>
                <c:pt idx="138">
                  <c:v>0.64690000000000003</c:v>
                </c:pt>
                <c:pt idx="139">
                  <c:v>0.64680000000000004</c:v>
                </c:pt>
                <c:pt idx="140">
                  <c:v>0.64610000000000001</c:v>
                </c:pt>
                <c:pt idx="141">
                  <c:v>0.64610000000000001</c:v>
                </c:pt>
                <c:pt idx="142">
                  <c:v>0.64529999999999998</c:v>
                </c:pt>
                <c:pt idx="143">
                  <c:v>0.64529999999999998</c:v>
                </c:pt>
                <c:pt idx="144">
                  <c:v>0.64380000000000004</c:v>
                </c:pt>
                <c:pt idx="145">
                  <c:v>0.64370000000000005</c:v>
                </c:pt>
                <c:pt idx="146">
                  <c:v>0.64300000000000002</c:v>
                </c:pt>
                <c:pt idx="147">
                  <c:v>0.64290000000000003</c:v>
                </c:pt>
                <c:pt idx="148">
                  <c:v>0.64219999999999999</c:v>
                </c:pt>
                <c:pt idx="149">
                  <c:v>0.64219999999999999</c:v>
                </c:pt>
                <c:pt idx="150">
                  <c:v>0.6421</c:v>
                </c:pt>
                <c:pt idx="151">
                  <c:v>0.64139999999999997</c:v>
                </c:pt>
                <c:pt idx="152">
                  <c:v>0.64139999999999997</c:v>
                </c:pt>
                <c:pt idx="153">
                  <c:v>0.64049999999999996</c:v>
                </c:pt>
                <c:pt idx="154">
                  <c:v>0.63980000000000004</c:v>
                </c:pt>
                <c:pt idx="155">
                  <c:v>0.63970000000000005</c:v>
                </c:pt>
                <c:pt idx="156">
                  <c:v>0.63900000000000001</c:v>
                </c:pt>
                <c:pt idx="157">
                  <c:v>0.63900000000000001</c:v>
                </c:pt>
                <c:pt idx="158">
                  <c:v>0.63819999999999999</c:v>
                </c:pt>
                <c:pt idx="159">
                  <c:v>0.63819999999999999</c:v>
                </c:pt>
                <c:pt idx="160">
                  <c:v>0.63739999999999997</c:v>
                </c:pt>
                <c:pt idx="161">
                  <c:v>0.63729999999999998</c:v>
                </c:pt>
                <c:pt idx="162">
                  <c:v>0.63660000000000005</c:v>
                </c:pt>
                <c:pt idx="163">
                  <c:v>0.63580000000000003</c:v>
                </c:pt>
                <c:pt idx="164">
                  <c:v>0.63580000000000003</c:v>
                </c:pt>
                <c:pt idx="165">
                  <c:v>0.63500000000000001</c:v>
                </c:pt>
                <c:pt idx="166">
                  <c:v>0.63419999999999999</c:v>
                </c:pt>
                <c:pt idx="167">
                  <c:v>0.63419999999999999</c:v>
                </c:pt>
                <c:pt idx="168">
                  <c:v>0.63329999999999997</c:v>
                </c:pt>
                <c:pt idx="169">
                  <c:v>0.63260000000000005</c:v>
                </c:pt>
                <c:pt idx="170">
                  <c:v>0.63180000000000003</c:v>
                </c:pt>
                <c:pt idx="171">
                  <c:v>0.63180000000000003</c:v>
                </c:pt>
                <c:pt idx="172">
                  <c:v>0.63100000000000001</c:v>
                </c:pt>
                <c:pt idx="173">
                  <c:v>0.63009999999999999</c:v>
                </c:pt>
                <c:pt idx="174">
                  <c:v>0.63009999999999999</c:v>
                </c:pt>
                <c:pt idx="175">
                  <c:v>0.62939999999999996</c:v>
                </c:pt>
                <c:pt idx="176">
                  <c:v>0.62929999999999997</c:v>
                </c:pt>
                <c:pt idx="177">
                  <c:v>0.62770000000000004</c:v>
                </c:pt>
                <c:pt idx="178">
                  <c:v>0.62770000000000004</c:v>
                </c:pt>
                <c:pt idx="179">
                  <c:v>0.62690000000000001</c:v>
                </c:pt>
                <c:pt idx="180">
                  <c:v>0.62609999999999999</c:v>
                </c:pt>
                <c:pt idx="181">
                  <c:v>0.626</c:v>
                </c:pt>
                <c:pt idx="182">
                  <c:v>0.62529999999999997</c:v>
                </c:pt>
                <c:pt idx="183">
                  <c:v>0.62360000000000004</c:v>
                </c:pt>
                <c:pt idx="184">
                  <c:v>0.62360000000000004</c:v>
                </c:pt>
                <c:pt idx="185">
                  <c:v>0.62280000000000002</c:v>
                </c:pt>
                <c:pt idx="186">
                  <c:v>0.62280000000000002</c:v>
                </c:pt>
                <c:pt idx="187">
                  <c:v>0.622</c:v>
                </c:pt>
                <c:pt idx="188">
                  <c:v>0.622</c:v>
                </c:pt>
                <c:pt idx="189">
                  <c:v>0.62109999999999999</c:v>
                </c:pt>
                <c:pt idx="190">
                  <c:v>0.61950000000000005</c:v>
                </c:pt>
                <c:pt idx="191">
                  <c:v>0.61950000000000005</c:v>
                </c:pt>
                <c:pt idx="192">
                  <c:v>0.61870000000000003</c:v>
                </c:pt>
                <c:pt idx="193">
                  <c:v>0.61870000000000003</c:v>
                </c:pt>
                <c:pt idx="194">
                  <c:v>0.6179</c:v>
                </c:pt>
                <c:pt idx="195">
                  <c:v>0.61780000000000002</c:v>
                </c:pt>
                <c:pt idx="196">
                  <c:v>0.61619999999999997</c:v>
                </c:pt>
                <c:pt idx="197">
                  <c:v>0.61539999999999995</c:v>
                </c:pt>
                <c:pt idx="198">
                  <c:v>0.61529999999999996</c:v>
                </c:pt>
                <c:pt idx="199">
                  <c:v>0.61450000000000005</c:v>
                </c:pt>
                <c:pt idx="200">
                  <c:v>0.61370000000000002</c:v>
                </c:pt>
                <c:pt idx="201">
                  <c:v>0.61370000000000002</c:v>
                </c:pt>
                <c:pt idx="202">
                  <c:v>0.6129</c:v>
                </c:pt>
                <c:pt idx="203">
                  <c:v>0.61119999999999997</c:v>
                </c:pt>
                <c:pt idx="204">
                  <c:v>0.61119999999999997</c:v>
                </c:pt>
                <c:pt idx="205">
                  <c:v>0.61040000000000005</c:v>
                </c:pt>
                <c:pt idx="206">
                  <c:v>0.60960000000000003</c:v>
                </c:pt>
                <c:pt idx="207">
                  <c:v>0.60950000000000004</c:v>
                </c:pt>
                <c:pt idx="208">
                  <c:v>0.60870000000000002</c:v>
                </c:pt>
                <c:pt idx="209">
                  <c:v>0.60860000000000003</c:v>
                </c:pt>
                <c:pt idx="210">
                  <c:v>0.60699999999999998</c:v>
                </c:pt>
                <c:pt idx="211">
                  <c:v>0.60619999999999996</c:v>
                </c:pt>
                <c:pt idx="212">
                  <c:v>0.60609999999999997</c:v>
                </c:pt>
                <c:pt idx="213">
                  <c:v>0.60529999999999995</c:v>
                </c:pt>
                <c:pt idx="214">
                  <c:v>0.60529999999999995</c:v>
                </c:pt>
                <c:pt idx="215">
                  <c:v>0.6028</c:v>
                </c:pt>
                <c:pt idx="216">
                  <c:v>0.60270000000000001</c:v>
                </c:pt>
                <c:pt idx="217">
                  <c:v>0.60189999999999999</c:v>
                </c:pt>
                <c:pt idx="218">
                  <c:v>0.60109999999999997</c:v>
                </c:pt>
                <c:pt idx="219">
                  <c:v>0.60099999999999998</c:v>
                </c:pt>
                <c:pt idx="220">
                  <c:v>0.59940000000000004</c:v>
                </c:pt>
                <c:pt idx="221">
                  <c:v>0.59850000000000003</c:v>
                </c:pt>
                <c:pt idx="222">
                  <c:v>0.59850000000000003</c:v>
                </c:pt>
                <c:pt idx="223">
                  <c:v>0.59770000000000001</c:v>
                </c:pt>
                <c:pt idx="224">
                  <c:v>0.5968</c:v>
                </c:pt>
                <c:pt idx="225">
                  <c:v>0.59599999999999997</c:v>
                </c:pt>
                <c:pt idx="226">
                  <c:v>0.59589999999999999</c:v>
                </c:pt>
                <c:pt idx="227">
                  <c:v>0.59419999999999995</c:v>
                </c:pt>
                <c:pt idx="228">
                  <c:v>0.59250000000000003</c:v>
                </c:pt>
                <c:pt idx="229">
                  <c:v>0.59250000000000003</c:v>
                </c:pt>
                <c:pt idx="230">
                  <c:v>0.59160000000000001</c:v>
                </c:pt>
                <c:pt idx="231">
                  <c:v>0.58989999999999998</c:v>
                </c:pt>
                <c:pt idx="232">
                  <c:v>0.58909999999999996</c:v>
                </c:pt>
                <c:pt idx="233">
                  <c:v>0.58819999999999995</c:v>
                </c:pt>
                <c:pt idx="234">
                  <c:v>0.58819999999999995</c:v>
                </c:pt>
                <c:pt idx="235">
                  <c:v>0.58560000000000001</c:v>
                </c:pt>
                <c:pt idx="236">
                  <c:v>0.58560000000000001</c:v>
                </c:pt>
                <c:pt idx="237">
                  <c:v>0.5847</c:v>
                </c:pt>
                <c:pt idx="238">
                  <c:v>0.58389999999999997</c:v>
                </c:pt>
                <c:pt idx="239">
                  <c:v>0.58130000000000004</c:v>
                </c:pt>
                <c:pt idx="240">
                  <c:v>0.57950000000000002</c:v>
                </c:pt>
                <c:pt idx="241">
                  <c:v>0.5786</c:v>
                </c:pt>
                <c:pt idx="242">
                  <c:v>0.57689999999999997</c:v>
                </c:pt>
                <c:pt idx="243">
                  <c:v>0.57520000000000004</c:v>
                </c:pt>
                <c:pt idx="244">
                  <c:v>0.57509999999999994</c:v>
                </c:pt>
                <c:pt idx="245">
                  <c:v>0.57430000000000003</c:v>
                </c:pt>
                <c:pt idx="246">
                  <c:v>0.5716</c:v>
                </c:pt>
                <c:pt idx="247">
                  <c:v>0.57069999999999999</c:v>
                </c:pt>
                <c:pt idx="248">
                  <c:v>0.56810000000000005</c:v>
                </c:pt>
                <c:pt idx="249">
                  <c:v>0.56630000000000003</c:v>
                </c:pt>
                <c:pt idx="250">
                  <c:v>0.56369999999999998</c:v>
                </c:pt>
                <c:pt idx="251">
                  <c:v>0.55740000000000001</c:v>
                </c:pt>
                <c:pt idx="252">
                  <c:v>0.55300000000000005</c:v>
                </c:pt>
                <c:pt idx="253">
                  <c:v>0.55030000000000001</c:v>
                </c:pt>
                <c:pt idx="254">
                  <c:v>0.53949999999999998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D4-459D-9AEA-1ADA39F6FD4D}"/>
            </c:ext>
          </c:extLst>
        </c:ser>
        <c:ser>
          <c:idx val="2"/>
          <c:order val="1"/>
          <c:tx>
            <c:strRef>
              <c:f>'Figure 3a'!$E$7</c:f>
              <c:strCache>
                <c:ptCount val="1"/>
                <c:pt idx="0">
                  <c:v>Bilateralism, private support</c:v>
                </c:pt>
              </c:strCache>
            </c:strRef>
          </c:tx>
          <c:spPr>
            <a:ln w="254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'Figure 3a'!$B$8:$B$262</c:f>
              <c:numCache>
                <c:formatCode>0.00</c:formatCode>
                <c:ptCount val="255"/>
                <c:pt idx="0">
                  <c:v>0</c:v>
                </c:pt>
                <c:pt idx="1">
                  <c:v>0.04</c:v>
                </c:pt>
                <c:pt idx="2">
                  <c:v>6.6600000000000006E-2</c:v>
                </c:pt>
                <c:pt idx="3">
                  <c:v>0.08</c:v>
                </c:pt>
                <c:pt idx="4">
                  <c:v>0.1066</c:v>
                </c:pt>
                <c:pt idx="5">
                  <c:v>0.12</c:v>
                </c:pt>
                <c:pt idx="6">
                  <c:v>0.13320000000000001</c:v>
                </c:pt>
                <c:pt idx="7">
                  <c:v>0.13339999999999999</c:v>
                </c:pt>
                <c:pt idx="8">
                  <c:v>0.14660000000000001</c:v>
                </c:pt>
                <c:pt idx="9">
                  <c:v>0.16</c:v>
                </c:pt>
                <c:pt idx="10">
                  <c:v>0.17319999999999999</c:v>
                </c:pt>
                <c:pt idx="11">
                  <c:v>0.1734</c:v>
                </c:pt>
                <c:pt idx="12">
                  <c:v>0.18</c:v>
                </c:pt>
                <c:pt idx="13">
                  <c:v>0.18340000000000001</c:v>
                </c:pt>
                <c:pt idx="14">
                  <c:v>0.18659999999999999</c:v>
                </c:pt>
                <c:pt idx="15">
                  <c:v>0.19980000000000001</c:v>
                </c:pt>
                <c:pt idx="16">
                  <c:v>0.2</c:v>
                </c:pt>
                <c:pt idx="17">
                  <c:v>0.2132</c:v>
                </c:pt>
                <c:pt idx="18">
                  <c:v>0.21340000000000001</c:v>
                </c:pt>
                <c:pt idx="19">
                  <c:v>0.21659999999999999</c:v>
                </c:pt>
                <c:pt idx="20">
                  <c:v>0.22339999999999999</c:v>
                </c:pt>
                <c:pt idx="21">
                  <c:v>0.2266</c:v>
                </c:pt>
                <c:pt idx="22">
                  <c:v>0.24</c:v>
                </c:pt>
                <c:pt idx="23">
                  <c:v>0.25</c:v>
                </c:pt>
                <c:pt idx="24">
                  <c:v>0.25319999999999998</c:v>
                </c:pt>
                <c:pt idx="25">
                  <c:v>0.25340000000000001</c:v>
                </c:pt>
                <c:pt idx="26">
                  <c:v>0.26340000000000002</c:v>
                </c:pt>
                <c:pt idx="27">
                  <c:v>0.2666</c:v>
                </c:pt>
                <c:pt idx="28">
                  <c:v>0.26679999999999998</c:v>
                </c:pt>
                <c:pt idx="29">
                  <c:v>0.27660000000000001</c:v>
                </c:pt>
                <c:pt idx="30">
                  <c:v>0.28000000000000003</c:v>
                </c:pt>
                <c:pt idx="31">
                  <c:v>0.28660000000000002</c:v>
                </c:pt>
                <c:pt idx="32">
                  <c:v>0.29320000000000002</c:v>
                </c:pt>
                <c:pt idx="33">
                  <c:v>0.29339999999999999</c:v>
                </c:pt>
                <c:pt idx="34">
                  <c:v>0.30659999999999998</c:v>
                </c:pt>
                <c:pt idx="35">
                  <c:v>0.30680000000000002</c:v>
                </c:pt>
                <c:pt idx="36">
                  <c:v>0.31659999999999999</c:v>
                </c:pt>
                <c:pt idx="37">
                  <c:v>0.31979999999999997</c:v>
                </c:pt>
                <c:pt idx="38">
                  <c:v>0.32</c:v>
                </c:pt>
                <c:pt idx="39">
                  <c:v>0.32319999999999999</c:v>
                </c:pt>
                <c:pt idx="40">
                  <c:v>0.33</c:v>
                </c:pt>
                <c:pt idx="41">
                  <c:v>0.3332</c:v>
                </c:pt>
                <c:pt idx="42">
                  <c:v>0.33339999999999997</c:v>
                </c:pt>
                <c:pt idx="43">
                  <c:v>0.34339999999999998</c:v>
                </c:pt>
                <c:pt idx="44">
                  <c:v>0.34660000000000002</c:v>
                </c:pt>
                <c:pt idx="45">
                  <c:v>0.3468</c:v>
                </c:pt>
                <c:pt idx="46">
                  <c:v>0.35</c:v>
                </c:pt>
                <c:pt idx="47">
                  <c:v>0.35339999999999999</c:v>
                </c:pt>
                <c:pt idx="48">
                  <c:v>0.35680000000000001</c:v>
                </c:pt>
                <c:pt idx="49">
                  <c:v>0.35980000000000001</c:v>
                </c:pt>
                <c:pt idx="50">
                  <c:v>0.36</c:v>
                </c:pt>
                <c:pt idx="51">
                  <c:v>0.3634</c:v>
                </c:pt>
                <c:pt idx="52">
                  <c:v>0.36659999999999998</c:v>
                </c:pt>
                <c:pt idx="53">
                  <c:v>0.37319999999999998</c:v>
                </c:pt>
                <c:pt idx="54">
                  <c:v>0.37340000000000001</c:v>
                </c:pt>
                <c:pt idx="55">
                  <c:v>0.37659999999999999</c:v>
                </c:pt>
                <c:pt idx="56">
                  <c:v>0.38</c:v>
                </c:pt>
                <c:pt idx="57">
                  <c:v>0.38319999999999999</c:v>
                </c:pt>
                <c:pt idx="58">
                  <c:v>0.38340000000000002</c:v>
                </c:pt>
                <c:pt idx="59">
                  <c:v>0.3866</c:v>
                </c:pt>
                <c:pt idx="60">
                  <c:v>0.38679999999999998</c:v>
                </c:pt>
                <c:pt idx="61">
                  <c:v>0.38979999999999998</c:v>
                </c:pt>
                <c:pt idx="62">
                  <c:v>0.39</c:v>
                </c:pt>
                <c:pt idx="63">
                  <c:v>0.39319999999999999</c:v>
                </c:pt>
                <c:pt idx="64">
                  <c:v>0.39340000000000003</c:v>
                </c:pt>
                <c:pt idx="65">
                  <c:v>0.39660000000000001</c:v>
                </c:pt>
                <c:pt idx="66">
                  <c:v>0.39679999999999999</c:v>
                </c:pt>
                <c:pt idx="67">
                  <c:v>0.39979999999999999</c:v>
                </c:pt>
                <c:pt idx="68">
                  <c:v>0.4</c:v>
                </c:pt>
                <c:pt idx="69">
                  <c:v>0.4002</c:v>
                </c:pt>
                <c:pt idx="70">
                  <c:v>0.41</c:v>
                </c:pt>
                <c:pt idx="71">
                  <c:v>0.41320000000000001</c:v>
                </c:pt>
                <c:pt idx="72">
                  <c:v>0.41339999999999999</c:v>
                </c:pt>
                <c:pt idx="73">
                  <c:v>0.41660000000000003</c:v>
                </c:pt>
                <c:pt idx="74">
                  <c:v>0.4234</c:v>
                </c:pt>
                <c:pt idx="75">
                  <c:v>0.42659999999999998</c:v>
                </c:pt>
                <c:pt idx="76">
                  <c:v>0.42680000000000001</c:v>
                </c:pt>
                <c:pt idx="77">
                  <c:v>0.43340000000000001</c:v>
                </c:pt>
                <c:pt idx="78">
                  <c:v>0.44</c:v>
                </c:pt>
                <c:pt idx="79">
                  <c:v>0.44019999999999998</c:v>
                </c:pt>
                <c:pt idx="80">
                  <c:v>0.44319999999999998</c:v>
                </c:pt>
                <c:pt idx="81">
                  <c:v>0.44340000000000002</c:v>
                </c:pt>
                <c:pt idx="82">
                  <c:v>0.4466</c:v>
                </c:pt>
                <c:pt idx="83">
                  <c:v>0.44679999999999997</c:v>
                </c:pt>
                <c:pt idx="84">
                  <c:v>0.45</c:v>
                </c:pt>
                <c:pt idx="85">
                  <c:v>0.45019999999999999</c:v>
                </c:pt>
                <c:pt idx="86">
                  <c:v>0.45319999999999999</c:v>
                </c:pt>
                <c:pt idx="87">
                  <c:v>0.45340000000000003</c:v>
                </c:pt>
                <c:pt idx="88">
                  <c:v>0.45979999999999999</c:v>
                </c:pt>
                <c:pt idx="89">
                  <c:v>0.46</c:v>
                </c:pt>
                <c:pt idx="90">
                  <c:v>0.46339999999999998</c:v>
                </c:pt>
                <c:pt idx="91">
                  <c:v>0.46660000000000001</c:v>
                </c:pt>
                <c:pt idx="92">
                  <c:v>0.46679999999999999</c:v>
                </c:pt>
                <c:pt idx="93">
                  <c:v>0.4698</c:v>
                </c:pt>
                <c:pt idx="94">
                  <c:v>0.47</c:v>
                </c:pt>
                <c:pt idx="95">
                  <c:v>0.47660000000000002</c:v>
                </c:pt>
                <c:pt idx="96">
                  <c:v>0.4768</c:v>
                </c:pt>
                <c:pt idx="97">
                  <c:v>0.48</c:v>
                </c:pt>
                <c:pt idx="98">
                  <c:v>0.48020000000000002</c:v>
                </c:pt>
                <c:pt idx="99">
                  <c:v>0.48320000000000002</c:v>
                </c:pt>
                <c:pt idx="100">
                  <c:v>0.4834</c:v>
                </c:pt>
                <c:pt idx="101">
                  <c:v>0.49</c:v>
                </c:pt>
                <c:pt idx="102">
                  <c:v>0.49320000000000003</c:v>
                </c:pt>
                <c:pt idx="103">
                  <c:v>0.49340000000000001</c:v>
                </c:pt>
                <c:pt idx="104">
                  <c:v>0.49659999999999999</c:v>
                </c:pt>
                <c:pt idx="105">
                  <c:v>0.49680000000000002</c:v>
                </c:pt>
                <c:pt idx="106">
                  <c:v>0.5</c:v>
                </c:pt>
                <c:pt idx="107">
                  <c:v>0.50660000000000005</c:v>
                </c:pt>
                <c:pt idx="108">
                  <c:v>0.50680000000000003</c:v>
                </c:pt>
                <c:pt idx="109">
                  <c:v>0.51</c:v>
                </c:pt>
                <c:pt idx="110">
                  <c:v>0.51659999999999995</c:v>
                </c:pt>
                <c:pt idx="111">
                  <c:v>0.51680000000000004</c:v>
                </c:pt>
                <c:pt idx="112">
                  <c:v>0.52</c:v>
                </c:pt>
                <c:pt idx="113">
                  <c:v>0.5202</c:v>
                </c:pt>
                <c:pt idx="114">
                  <c:v>0.52339999999999998</c:v>
                </c:pt>
                <c:pt idx="115">
                  <c:v>0.52659999999999996</c:v>
                </c:pt>
                <c:pt idx="116">
                  <c:v>0.52680000000000005</c:v>
                </c:pt>
                <c:pt idx="117">
                  <c:v>0.53</c:v>
                </c:pt>
                <c:pt idx="118">
                  <c:v>0.53320000000000001</c:v>
                </c:pt>
                <c:pt idx="119">
                  <c:v>0.53339999999999999</c:v>
                </c:pt>
                <c:pt idx="120">
                  <c:v>0.53659999999999997</c:v>
                </c:pt>
                <c:pt idx="121">
                  <c:v>0.54</c:v>
                </c:pt>
                <c:pt idx="122">
                  <c:v>0.54320000000000002</c:v>
                </c:pt>
                <c:pt idx="123">
                  <c:v>0.54339999999999999</c:v>
                </c:pt>
                <c:pt idx="124">
                  <c:v>0.54659999999999997</c:v>
                </c:pt>
                <c:pt idx="125">
                  <c:v>0.54679999999999995</c:v>
                </c:pt>
                <c:pt idx="126">
                  <c:v>0.55000000000000004</c:v>
                </c:pt>
                <c:pt idx="127">
                  <c:v>0.55320000000000003</c:v>
                </c:pt>
                <c:pt idx="128">
                  <c:v>0.56000000000000005</c:v>
                </c:pt>
                <c:pt idx="129">
                  <c:v>0.56020000000000003</c:v>
                </c:pt>
                <c:pt idx="130">
                  <c:v>0.56340000000000001</c:v>
                </c:pt>
                <c:pt idx="131">
                  <c:v>0.56659999999999999</c:v>
                </c:pt>
                <c:pt idx="132">
                  <c:v>0.56679999999999997</c:v>
                </c:pt>
                <c:pt idx="133">
                  <c:v>0.56999999999999995</c:v>
                </c:pt>
                <c:pt idx="134">
                  <c:v>0.57320000000000004</c:v>
                </c:pt>
                <c:pt idx="135">
                  <c:v>0.57340000000000002</c:v>
                </c:pt>
                <c:pt idx="136">
                  <c:v>0.5766</c:v>
                </c:pt>
                <c:pt idx="137">
                  <c:v>0.57679999999999998</c:v>
                </c:pt>
                <c:pt idx="138">
                  <c:v>0.57999999999999996</c:v>
                </c:pt>
                <c:pt idx="139">
                  <c:v>0.58020000000000005</c:v>
                </c:pt>
                <c:pt idx="140">
                  <c:v>0.58320000000000005</c:v>
                </c:pt>
                <c:pt idx="141">
                  <c:v>0.58340000000000003</c:v>
                </c:pt>
                <c:pt idx="142">
                  <c:v>0.58660000000000001</c:v>
                </c:pt>
                <c:pt idx="143">
                  <c:v>0.58679999999999999</c:v>
                </c:pt>
                <c:pt idx="144">
                  <c:v>0.59319999999999995</c:v>
                </c:pt>
                <c:pt idx="145">
                  <c:v>0.59340000000000004</c:v>
                </c:pt>
                <c:pt idx="146">
                  <c:v>0.59660000000000002</c:v>
                </c:pt>
                <c:pt idx="147">
                  <c:v>0.5968</c:v>
                </c:pt>
                <c:pt idx="148">
                  <c:v>0.5998</c:v>
                </c:pt>
                <c:pt idx="149">
                  <c:v>0.6</c:v>
                </c:pt>
                <c:pt idx="150">
                  <c:v>0.60019999999999996</c:v>
                </c:pt>
                <c:pt idx="151">
                  <c:v>0.60319999999999996</c:v>
                </c:pt>
                <c:pt idx="152">
                  <c:v>0.60340000000000005</c:v>
                </c:pt>
                <c:pt idx="153">
                  <c:v>0.60680000000000001</c:v>
                </c:pt>
                <c:pt idx="154">
                  <c:v>0.61</c:v>
                </c:pt>
                <c:pt idx="155">
                  <c:v>0.61019999999999996</c:v>
                </c:pt>
                <c:pt idx="156">
                  <c:v>0.61319999999999997</c:v>
                </c:pt>
                <c:pt idx="157">
                  <c:v>0.61339999999999995</c:v>
                </c:pt>
                <c:pt idx="158">
                  <c:v>0.61660000000000004</c:v>
                </c:pt>
                <c:pt idx="159">
                  <c:v>0.61680000000000001</c:v>
                </c:pt>
                <c:pt idx="160">
                  <c:v>0.62</c:v>
                </c:pt>
                <c:pt idx="161">
                  <c:v>0.62019999999999997</c:v>
                </c:pt>
                <c:pt idx="162">
                  <c:v>0.62339999999999995</c:v>
                </c:pt>
                <c:pt idx="163">
                  <c:v>0.62660000000000005</c:v>
                </c:pt>
                <c:pt idx="164">
                  <c:v>0.62680000000000002</c:v>
                </c:pt>
                <c:pt idx="165">
                  <c:v>0.63</c:v>
                </c:pt>
                <c:pt idx="166">
                  <c:v>0.63319999999999999</c:v>
                </c:pt>
                <c:pt idx="167">
                  <c:v>0.63339999999999996</c:v>
                </c:pt>
                <c:pt idx="168">
                  <c:v>0.63680000000000003</c:v>
                </c:pt>
                <c:pt idx="169">
                  <c:v>0.64</c:v>
                </c:pt>
                <c:pt idx="170">
                  <c:v>0.64319999999999999</c:v>
                </c:pt>
                <c:pt idx="171">
                  <c:v>0.64339999999999997</c:v>
                </c:pt>
                <c:pt idx="172">
                  <c:v>0.64659999999999995</c:v>
                </c:pt>
                <c:pt idx="173">
                  <c:v>0.65</c:v>
                </c:pt>
                <c:pt idx="174">
                  <c:v>0.6502</c:v>
                </c:pt>
                <c:pt idx="175">
                  <c:v>0.6532</c:v>
                </c:pt>
                <c:pt idx="176">
                  <c:v>0.65339999999999998</c:v>
                </c:pt>
                <c:pt idx="177">
                  <c:v>0.66</c:v>
                </c:pt>
                <c:pt idx="178">
                  <c:v>0.66020000000000001</c:v>
                </c:pt>
                <c:pt idx="179">
                  <c:v>0.66339999999999999</c:v>
                </c:pt>
                <c:pt idx="180">
                  <c:v>0.66659999999999997</c:v>
                </c:pt>
                <c:pt idx="181">
                  <c:v>0.66679999999999995</c:v>
                </c:pt>
                <c:pt idx="182">
                  <c:v>0.67</c:v>
                </c:pt>
                <c:pt idx="183">
                  <c:v>0.67659999999999998</c:v>
                </c:pt>
                <c:pt idx="184">
                  <c:v>0.67679999999999996</c:v>
                </c:pt>
                <c:pt idx="185">
                  <c:v>0.68</c:v>
                </c:pt>
                <c:pt idx="186">
                  <c:v>0.68020000000000003</c:v>
                </c:pt>
                <c:pt idx="187">
                  <c:v>0.68320000000000003</c:v>
                </c:pt>
                <c:pt idx="188">
                  <c:v>0.68340000000000001</c:v>
                </c:pt>
                <c:pt idx="189">
                  <c:v>0.68679999999999997</c:v>
                </c:pt>
                <c:pt idx="190">
                  <c:v>0.69320000000000004</c:v>
                </c:pt>
                <c:pt idx="191">
                  <c:v>0.69340000000000002</c:v>
                </c:pt>
                <c:pt idx="192">
                  <c:v>0.6966</c:v>
                </c:pt>
                <c:pt idx="193">
                  <c:v>0.69679999999999997</c:v>
                </c:pt>
                <c:pt idx="194">
                  <c:v>0.7</c:v>
                </c:pt>
                <c:pt idx="195">
                  <c:v>0.70020000000000004</c:v>
                </c:pt>
                <c:pt idx="196">
                  <c:v>0.70679999999999998</c:v>
                </c:pt>
                <c:pt idx="197">
                  <c:v>0.71</c:v>
                </c:pt>
                <c:pt idx="198">
                  <c:v>0.71020000000000005</c:v>
                </c:pt>
                <c:pt idx="199">
                  <c:v>0.71340000000000003</c:v>
                </c:pt>
                <c:pt idx="200">
                  <c:v>0.71660000000000001</c:v>
                </c:pt>
                <c:pt idx="201">
                  <c:v>0.71679999999999999</c:v>
                </c:pt>
                <c:pt idx="202">
                  <c:v>0.72</c:v>
                </c:pt>
                <c:pt idx="203">
                  <c:v>0.72660000000000002</c:v>
                </c:pt>
                <c:pt idx="204">
                  <c:v>0.7268</c:v>
                </c:pt>
                <c:pt idx="205">
                  <c:v>0.73</c:v>
                </c:pt>
                <c:pt idx="206">
                  <c:v>0.73319999999999996</c:v>
                </c:pt>
                <c:pt idx="207">
                  <c:v>0.73340000000000005</c:v>
                </c:pt>
                <c:pt idx="208">
                  <c:v>0.73660000000000003</c:v>
                </c:pt>
                <c:pt idx="209">
                  <c:v>0.73680000000000001</c:v>
                </c:pt>
                <c:pt idx="210">
                  <c:v>0.74339999999999995</c:v>
                </c:pt>
                <c:pt idx="211">
                  <c:v>0.74660000000000004</c:v>
                </c:pt>
                <c:pt idx="212">
                  <c:v>0.74680000000000002</c:v>
                </c:pt>
                <c:pt idx="213">
                  <c:v>0.75</c:v>
                </c:pt>
                <c:pt idx="214">
                  <c:v>0.75019999999999998</c:v>
                </c:pt>
                <c:pt idx="215">
                  <c:v>0.76</c:v>
                </c:pt>
                <c:pt idx="216">
                  <c:v>0.76019999999999999</c:v>
                </c:pt>
                <c:pt idx="217">
                  <c:v>0.76339999999999997</c:v>
                </c:pt>
                <c:pt idx="218">
                  <c:v>0.76659999999999995</c:v>
                </c:pt>
                <c:pt idx="219">
                  <c:v>0.76680000000000004</c:v>
                </c:pt>
                <c:pt idx="220">
                  <c:v>0.77339999999999998</c:v>
                </c:pt>
                <c:pt idx="221">
                  <c:v>0.77659999999999996</c:v>
                </c:pt>
                <c:pt idx="222">
                  <c:v>0.77680000000000005</c:v>
                </c:pt>
                <c:pt idx="223">
                  <c:v>0.78</c:v>
                </c:pt>
                <c:pt idx="224">
                  <c:v>0.78339999999999999</c:v>
                </c:pt>
                <c:pt idx="225">
                  <c:v>0.78659999999999997</c:v>
                </c:pt>
                <c:pt idx="226">
                  <c:v>0.78680000000000005</c:v>
                </c:pt>
                <c:pt idx="227">
                  <c:v>0.79339999999999999</c:v>
                </c:pt>
                <c:pt idx="228">
                  <c:v>0.8</c:v>
                </c:pt>
                <c:pt idx="229">
                  <c:v>0.80020000000000002</c:v>
                </c:pt>
                <c:pt idx="230">
                  <c:v>0.8034</c:v>
                </c:pt>
                <c:pt idx="231">
                  <c:v>0.81</c:v>
                </c:pt>
                <c:pt idx="232">
                  <c:v>0.81340000000000001</c:v>
                </c:pt>
                <c:pt idx="233">
                  <c:v>0.81659999999999999</c:v>
                </c:pt>
                <c:pt idx="234">
                  <c:v>0.81679999999999997</c:v>
                </c:pt>
                <c:pt idx="235">
                  <c:v>0.8266</c:v>
                </c:pt>
                <c:pt idx="236">
                  <c:v>0.82679999999999998</c:v>
                </c:pt>
                <c:pt idx="237">
                  <c:v>0.83</c:v>
                </c:pt>
                <c:pt idx="238">
                  <c:v>0.83340000000000003</c:v>
                </c:pt>
                <c:pt idx="239">
                  <c:v>0.84340000000000004</c:v>
                </c:pt>
                <c:pt idx="240">
                  <c:v>0.85</c:v>
                </c:pt>
                <c:pt idx="241">
                  <c:v>0.85340000000000005</c:v>
                </c:pt>
                <c:pt idx="242">
                  <c:v>0.86</c:v>
                </c:pt>
                <c:pt idx="243">
                  <c:v>0.86660000000000004</c:v>
                </c:pt>
                <c:pt idx="244">
                  <c:v>0.86680000000000001</c:v>
                </c:pt>
                <c:pt idx="245">
                  <c:v>0.87</c:v>
                </c:pt>
                <c:pt idx="246">
                  <c:v>0.88</c:v>
                </c:pt>
                <c:pt idx="247">
                  <c:v>0.88339999999999996</c:v>
                </c:pt>
                <c:pt idx="248">
                  <c:v>0.89339999999999997</c:v>
                </c:pt>
                <c:pt idx="249">
                  <c:v>0.9</c:v>
                </c:pt>
                <c:pt idx="250">
                  <c:v>0.91</c:v>
                </c:pt>
                <c:pt idx="251">
                  <c:v>0.93340000000000001</c:v>
                </c:pt>
                <c:pt idx="252">
                  <c:v>0.95</c:v>
                </c:pt>
                <c:pt idx="253">
                  <c:v>0.96</c:v>
                </c:pt>
                <c:pt idx="254">
                  <c:v>1</c:v>
                </c:pt>
              </c:numCache>
            </c:numRef>
          </c:xVal>
          <c:yVal>
            <c:numRef>
              <c:f>'Figure 3a'!$E$8:$E$262</c:f>
              <c:numCache>
                <c:formatCode>General</c:formatCode>
                <c:ptCount val="255"/>
                <c:pt idx="0">
                  <c:v>0.1089</c:v>
                </c:pt>
                <c:pt idx="1">
                  <c:v>0.11269999999999999</c:v>
                </c:pt>
                <c:pt idx="2">
                  <c:v>0.1153</c:v>
                </c:pt>
                <c:pt idx="3">
                  <c:v>0.1167</c:v>
                </c:pt>
                <c:pt idx="4">
                  <c:v>0.1193</c:v>
                </c:pt>
                <c:pt idx="5">
                  <c:v>0.1207</c:v>
                </c:pt>
                <c:pt idx="6">
                  <c:v>0.122</c:v>
                </c:pt>
                <c:pt idx="7">
                  <c:v>0.122</c:v>
                </c:pt>
                <c:pt idx="8">
                  <c:v>0.1234</c:v>
                </c:pt>
                <c:pt idx="9">
                  <c:v>0.12470000000000001</c:v>
                </c:pt>
                <c:pt idx="10">
                  <c:v>0.12609999999999999</c:v>
                </c:pt>
                <c:pt idx="11">
                  <c:v>0.12609999999999999</c:v>
                </c:pt>
                <c:pt idx="12">
                  <c:v>0.1268</c:v>
                </c:pt>
                <c:pt idx="13">
                  <c:v>0.12720000000000001</c:v>
                </c:pt>
                <c:pt idx="14">
                  <c:v>0.1275</c:v>
                </c:pt>
                <c:pt idx="15">
                  <c:v>0.12889999999999999</c:v>
                </c:pt>
                <c:pt idx="16">
                  <c:v>0.12889999999999999</c:v>
                </c:pt>
                <c:pt idx="17">
                  <c:v>0.1303</c:v>
                </c:pt>
                <c:pt idx="18">
                  <c:v>0.1303</c:v>
                </c:pt>
                <c:pt idx="19">
                  <c:v>0.13070000000000001</c:v>
                </c:pt>
                <c:pt idx="20">
                  <c:v>0.13139999999999999</c:v>
                </c:pt>
                <c:pt idx="21">
                  <c:v>0.13170000000000001</c:v>
                </c:pt>
                <c:pt idx="22">
                  <c:v>0.1331</c:v>
                </c:pt>
                <c:pt idx="23">
                  <c:v>0.13420000000000001</c:v>
                </c:pt>
                <c:pt idx="24">
                  <c:v>0.1346</c:v>
                </c:pt>
                <c:pt idx="25">
                  <c:v>0.1346</c:v>
                </c:pt>
                <c:pt idx="26">
                  <c:v>0.13569999999999999</c:v>
                </c:pt>
                <c:pt idx="27">
                  <c:v>0.13600000000000001</c:v>
                </c:pt>
                <c:pt idx="28">
                  <c:v>0.13600000000000001</c:v>
                </c:pt>
                <c:pt idx="29">
                  <c:v>0.1371</c:v>
                </c:pt>
                <c:pt idx="30">
                  <c:v>0.13739999999999999</c:v>
                </c:pt>
                <c:pt idx="31">
                  <c:v>0.13819999999999999</c:v>
                </c:pt>
                <c:pt idx="32">
                  <c:v>0.1389</c:v>
                </c:pt>
                <c:pt idx="33">
                  <c:v>0.1389</c:v>
                </c:pt>
                <c:pt idx="34">
                  <c:v>0.1404</c:v>
                </c:pt>
                <c:pt idx="35">
                  <c:v>0.1404</c:v>
                </c:pt>
                <c:pt idx="36">
                  <c:v>0.14149999999999999</c:v>
                </c:pt>
                <c:pt idx="37">
                  <c:v>0.14180000000000001</c:v>
                </c:pt>
                <c:pt idx="38">
                  <c:v>0.14180000000000001</c:v>
                </c:pt>
                <c:pt idx="39">
                  <c:v>0.14219999999999999</c:v>
                </c:pt>
                <c:pt idx="40">
                  <c:v>0.1429</c:v>
                </c:pt>
                <c:pt idx="41">
                  <c:v>0.14330000000000001</c:v>
                </c:pt>
                <c:pt idx="42">
                  <c:v>0.14330000000000001</c:v>
                </c:pt>
                <c:pt idx="43">
                  <c:v>0.1444</c:v>
                </c:pt>
                <c:pt idx="44">
                  <c:v>0.14480000000000001</c:v>
                </c:pt>
                <c:pt idx="45">
                  <c:v>0.14480000000000001</c:v>
                </c:pt>
                <c:pt idx="46">
                  <c:v>0.1452</c:v>
                </c:pt>
                <c:pt idx="47">
                  <c:v>0.14549999999999999</c:v>
                </c:pt>
                <c:pt idx="48">
                  <c:v>0.1459</c:v>
                </c:pt>
                <c:pt idx="49">
                  <c:v>0.14630000000000001</c:v>
                </c:pt>
                <c:pt idx="50">
                  <c:v>0.14630000000000001</c:v>
                </c:pt>
                <c:pt idx="51">
                  <c:v>0.1467</c:v>
                </c:pt>
                <c:pt idx="52">
                  <c:v>0.14699999999999999</c:v>
                </c:pt>
                <c:pt idx="53">
                  <c:v>0.14779999999999999</c:v>
                </c:pt>
                <c:pt idx="54">
                  <c:v>0.14779999999999999</c:v>
                </c:pt>
                <c:pt idx="55">
                  <c:v>0.14810000000000001</c:v>
                </c:pt>
                <c:pt idx="56">
                  <c:v>0.14849999999999999</c:v>
                </c:pt>
                <c:pt idx="57">
                  <c:v>0.1489</c:v>
                </c:pt>
                <c:pt idx="58">
                  <c:v>0.1489</c:v>
                </c:pt>
                <c:pt idx="59">
                  <c:v>0.14929999999999999</c:v>
                </c:pt>
                <c:pt idx="60">
                  <c:v>0.14929999999999999</c:v>
                </c:pt>
                <c:pt idx="61">
                  <c:v>0.14960000000000001</c:v>
                </c:pt>
                <c:pt idx="62">
                  <c:v>0.1497</c:v>
                </c:pt>
                <c:pt idx="63">
                  <c:v>0.15</c:v>
                </c:pt>
                <c:pt idx="64">
                  <c:v>0.15</c:v>
                </c:pt>
                <c:pt idx="65">
                  <c:v>0.15040000000000001</c:v>
                </c:pt>
                <c:pt idx="66">
                  <c:v>0.15040000000000001</c:v>
                </c:pt>
                <c:pt idx="67">
                  <c:v>0.15079999999999999</c:v>
                </c:pt>
                <c:pt idx="68">
                  <c:v>0.15079999999999999</c:v>
                </c:pt>
                <c:pt idx="69">
                  <c:v>0.15079999999999999</c:v>
                </c:pt>
                <c:pt idx="70">
                  <c:v>0.15190000000000001</c:v>
                </c:pt>
                <c:pt idx="71">
                  <c:v>0.15229999999999999</c:v>
                </c:pt>
                <c:pt idx="72">
                  <c:v>0.15229999999999999</c:v>
                </c:pt>
                <c:pt idx="73">
                  <c:v>0.1527</c:v>
                </c:pt>
                <c:pt idx="74">
                  <c:v>0.1535</c:v>
                </c:pt>
                <c:pt idx="75">
                  <c:v>0.15379999999999999</c:v>
                </c:pt>
                <c:pt idx="76">
                  <c:v>0.15379999999999999</c:v>
                </c:pt>
                <c:pt idx="77">
                  <c:v>0.15459999999999999</c:v>
                </c:pt>
                <c:pt idx="78">
                  <c:v>0.15540000000000001</c:v>
                </c:pt>
                <c:pt idx="79">
                  <c:v>0.15540000000000001</c:v>
                </c:pt>
                <c:pt idx="80">
                  <c:v>0.15570000000000001</c:v>
                </c:pt>
                <c:pt idx="81">
                  <c:v>0.15579999999999999</c:v>
                </c:pt>
                <c:pt idx="82">
                  <c:v>0.15609999999999999</c:v>
                </c:pt>
                <c:pt idx="83">
                  <c:v>0.15609999999999999</c:v>
                </c:pt>
                <c:pt idx="84">
                  <c:v>0.1565</c:v>
                </c:pt>
                <c:pt idx="85">
                  <c:v>0.1565</c:v>
                </c:pt>
                <c:pt idx="86">
                  <c:v>0.15690000000000001</c:v>
                </c:pt>
                <c:pt idx="87">
                  <c:v>0.15690000000000001</c:v>
                </c:pt>
                <c:pt idx="88">
                  <c:v>0.15770000000000001</c:v>
                </c:pt>
                <c:pt idx="89">
                  <c:v>0.15770000000000001</c:v>
                </c:pt>
                <c:pt idx="90">
                  <c:v>0.15809999999999999</c:v>
                </c:pt>
                <c:pt idx="91">
                  <c:v>0.15840000000000001</c:v>
                </c:pt>
                <c:pt idx="92">
                  <c:v>0.1585</c:v>
                </c:pt>
                <c:pt idx="93">
                  <c:v>0.1588</c:v>
                </c:pt>
                <c:pt idx="94">
                  <c:v>0.1588</c:v>
                </c:pt>
                <c:pt idx="95">
                  <c:v>0.15959999999999999</c:v>
                </c:pt>
                <c:pt idx="96">
                  <c:v>0.15959999999999999</c:v>
                </c:pt>
                <c:pt idx="97">
                  <c:v>0.16</c:v>
                </c:pt>
                <c:pt idx="98">
                  <c:v>0.16</c:v>
                </c:pt>
                <c:pt idx="99">
                  <c:v>0.16039999999999999</c:v>
                </c:pt>
                <c:pt idx="100">
                  <c:v>0.16039999999999999</c:v>
                </c:pt>
                <c:pt idx="101">
                  <c:v>0.16120000000000001</c:v>
                </c:pt>
                <c:pt idx="102">
                  <c:v>0.1615</c:v>
                </c:pt>
                <c:pt idx="103">
                  <c:v>0.16159999999999999</c:v>
                </c:pt>
                <c:pt idx="104">
                  <c:v>0.16189999999999999</c:v>
                </c:pt>
                <c:pt idx="105">
                  <c:v>0.16200000000000001</c:v>
                </c:pt>
                <c:pt idx="106">
                  <c:v>0.1623</c:v>
                </c:pt>
                <c:pt idx="107">
                  <c:v>0.16309999999999999</c:v>
                </c:pt>
                <c:pt idx="108">
                  <c:v>0.16309999999999999</c:v>
                </c:pt>
                <c:pt idx="109">
                  <c:v>0.16350000000000001</c:v>
                </c:pt>
                <c:pt idx="110">
                  <c:v>0.1643</c:v>
                </c:pt>
                <c:pt idx="111">
                  <c:v>0.1643</c:v>
                </c:pt>
                <c:pt idx="112">
                  <c:v>0.16470000000000001</c:v>
                </c:pt>
                <c:pt idx="113">
                  <c:v>0.16470000000000001</c:v>
                </c:pt>
                <c:pt idx="114">
                  <c:v>0.1651</c:v>
                </c:pt>
                <c:pt idx="115">
                  <c:v>0.16550000000000001</c:v>
                </c:pt>
                <c:pt idx="116">
                  <c:v>0.16550000000000001</c:v>
                </c:pt>
                <c:pt idx="117">
                  <c:v>0.16589999999999999</c:v>
                </c:pt>
                <c:pt idx="118">
                  <c:v>0.16619999999999999</c:v>
                </c:pt>
                <c:pt idx="119">
                  <c:v>0.1663</c:v>
                </c:pt>
                <c:pt idx="120">
                  <c:v>0.1666</c:v>
                </c:pt>
                <c:pt idx="121">
                  <c:v>0.1671</c:v>
                </c:pt>
                <c:pt idx="122">
                  <c:v>0.16739999999999999</c:v>
                </c:pt>
                <c:pt idx="123">
                  <c:v>0.16750000000000001</c:v>
                </c:pt>
                <c:pt idx="124">
                  <c:v>0.1678</c:v>
                </c:pt>
                <c:pt idx="125">
                  <c:v>0.16789999999999999</c:v>
                </c:pt>
                <c:pt idx="126">
                  <c:v>0.16819999999999999</c:v>
                </c:pt>
                <c:pt idx="127">
                  <c:v>0.1686</c:v>
                </c:pt>
                <c:pt idx="128">
                  <c:v>0.1694</c:v>
                </c:pt>
                <c:pt idx="129">
                  <c:v>0.16950000000000001</c:v>
                </c:pt>
                <c:pt idx="130">
                  <c:v>0.16980000000000001</c:v>
                </c:pt>
                <c:pt idx="131">
                  <c:v>0.17019999999999999</c:v>
                </c:pt>
                <c:pt idx="132">
                  <c:v>0.17019999999999999</c:v>
                </c:pt>
                <c:pt idx="133">
                  <c:v>0.1706</c:v>
                </c:pt>
                <c:pt idx="134">
                  <c:v>0.17100000000000001</c:v>
                </c:pt>
                <c:pt idx="135">
                  <c:v>0.17100000000000001</c:v>
                </c:pt>
                <c:pt idx="136">
                  <c:v>0.1714</c:v>
                </c:pt>
                <c:pt idx="137">
                  <c:v>0.1714</c:v>
                </c:pt>
                <c:pt idx="138">
                  <c:v>0.17180000000000001</c:v>
                </c:pt>
                <c:pt idx="139">
                  <c:v>0.17180000000000001</c:v>
                </c:pt>
                <c:pt idx="140">
                  <c:v>0.17219999999999999</c:v>
                </c:pt>
                <c:pt idx="141">
                  <c:v>0.17219999999999999</c:v>
                </c:pt>
                <c:pt idx="142">
                  <c:v>0.1726</c:v>
                </c:pt>
                <c:pt idx="143">
                  <c:v>0.1726</c:v>
                </c:pt>
                <c:pt idx="144">
                  <c:v>0.1734</c:v>
                </c:pt>
                <c:pt idx="145">
                  <c:v>0.1734</c:v>
                </c:pt>
                <c:pt idx="146">
                  <c:v>0.17380000000000001</c:v>
                </c:pt>
                <c:pt idx="147">
                  <c:v>0.17380000000000001</c:v>
                </c:pt>
                <c:pt idx="148">
                  <c:v>0.17419999999999999</c:v>
                </c:pt>
                <c:pt idx="149">
                  <c:v>0.17419999999999999</c:v>
                </c:pt>
                <c:pt idx="150">
                  <c:v>0.17419999999999999</c:v>
                </c:pt>
                <c:pt idx="151">
                  <c:v>0.17460000000000001</c:v>
                </c:pt>
                <c:pt idx="152">
                  <c:v>0.17460000000000001</c:v>
                </c:pt>
                <c:pt idx="153">
                  <c:v>0.17499999999999999</c:v>
                </c:pt>
                <c:pt idx="154">
                  <c:v>0.1754</c:v>
                </c:pt>
                <c:pt idx="155">
                  <c:v>0.1754</c:v>
                </c:pt>
                <c:pt idx="156">
                  <c:v>0.17580000000000001</c:v>
                </c:pt>
                <c:pt idx="157">
                  <c:v>0.17580000000000001</c:v>
                </c:pt>
                <c:pt idx="158">
                  <c:v>0.1762</c:v>
                </c:pt>
                <c:pt idx="159">
                  <c:v>0.1762</c:v>
                </c:pt>
                <c:pt idx="160">
                  <c:v>0.17660000000000001</c:v>
                </c:pt>
                <c:pt idx="161">
                  <c:v>0.1767</c:v>
                </c:pt>
                <c:pt idx="162">
                  <c:v>0.17699999999999999</c:v>
                </c:pt>
                <c:pt idx="163">
                  <c:v>0.1774</c:v>
                </c:pt>
                <c:pt idx="164">
                  <c:v>0.1774</c:v>
                </c:pt>
                <c:pt idx="165">
                  <c:v>0.17780000000000001</c:v>
                </c:pt>
                <c:pt idx="166">
                  <c:v>0.1782</c:v>
                </c:pt>
                <c:pt idx="167">
                  <c:v>0.1782</c:v>
                </c:pt>
                <c:pt idx="168">
                  <c:v>0.1787</c:v>
                </c:pt>
                <c:pt idx="169">
                  <c:v>0.17899999999999999</c:v>
                </c:pt>
                <c:pt idx="170">
                  <c:v>0.1794</c:v>
                </c:pt>
                <c:pt idx="171">
                  <c:v>0.17949999999999999</c:v>
                </c:pt>
                <c:pt idx="172">
                  <c:v>0.17979999999999999</c:v>
                </c:pt>
                <c:pt idx="173">
                  <c:v>0.18029999999999999</c:v>
                </c:pt>
                <c:pt idx="174">
                  <c:v>0.18029999999999999</c:v>
                </c:pt>
                <c:pt idx="175">
                  <c:v>0.1807</c:v>
                </c:pt>
                <c:pt idx="176">
                  <c:v>0.1807</c:v>
                </c:pt>
                <c:pt idx="177">
                  <c:v>0.18149999999999999</c:v>
                </c:pt>
                <c:pt idx="178">
                  <c:v>0.18149999999999999</c:v>
                </c:pt>
                <c:pt idx="179">
                  <c:v>0.18190000000000001</c:v>
                </c:pt>
                <c:pt idx="180">
                  <c:v>0.18229999999999999</c:v>
                </c:pt>
                <c:pt idx="181">
                  <c:v>0.18229999999999999</c:v>
                </c:pt>
                <c:pt idx="182">
                  <c:v>0.1827</c:v>
                </c:pt>
                <c:pt idx="183">
                  <c:v>0.1835</c:v>
                </c:pt>
                <c:pt idx="184">
                  <c:v>0.1835</c:v>
                </c:pt>
                <c:pt idx="185">
                  <c:v>0.18390000000000001</c:v>
                </c:pt>
                <c:pt idx="186">
                  <c:v>0.18390000000000001</c:v>
                </c:pt>
                <c:pt idx="187">
                  <c:v>0.18429999999999999</c:v>
                </c:pt>
                <c:pt idx="188">
                  <c:v>0.18429999999999999</c:v>
                </c:pt>
                <c:pt idx="189">
                  <c:v>0.1847</c:v>
                </c:pt>
                <c:pt idx="190">
                  <c:v>0.1855</c:v>
                </c:pt>
                <c:pt idx="191">
                  <c:v>0.18559999999999999</c:v>
                </c:pt>
                <c:pt idx="192">
                  <c:v>0.18590000000000001</c:v>
                </c:pt>
                <c:pt idx="193">
                  <c:v>0.186</c:v>
                </c:pt>
                <c:pt idx="194">
                  <c:v>0.18640000000000001</c:v>
                </c:pt>
                <c:pt idx="195">
                  <c:v>0.18640000000000001</c:v>
                </c:pt>
                <c:pt idx="196">
                  <c:v>0.18720000000000001</c:v>
                </c:pt>
                <c:pt idx="197">
                  <c:v>0.18759999999999999</c:v>
                </c:pt>
                <c:pt idx="198">
                  <c:v>0.18759999999999999</c:v>
                </c:pt>
                <c:pt idx="199">
                  <c:v>0.188</c:v>
                </c:pt>
                <c:pt idx="200">
                  <c:v>0.18840000000000001</c:v>
                </c:pt>
                <c:pt idx="201">
                  <c:v>0.18840000000000001</c:v>
                </c:pt>
                <c:pt idx="202">
                  <c:v>0.1888</c:v>
                </c:pt>
                <c:pt idx="203">
                  <c:v>0.18959999999999999</c:v>
                </c:pt>
                <c:pt idx="204">
                  <c:v>0.18970000000000001</c:v>
                </c:pt>
                <c:pt idx="205">
                  <c:v>0.19</c:v>
                </c:pt>
                <c:pt idx="206">
                  <c:v>0.19040000000000001</c:v>
                </c:pt>
                <c:pt idx="207">
                  <c:v>0.1905</c:v>
                </c:pt>
                <c:pt idx="208">
                  <c:v>0.19089999999999999</c:v>
                </c:pt>
                <c:pt idx="209">
                  <c:v>0.19089999999999999</c:v>
                </c:pt>
                <c:pt idx="210">
                  <c:v>0.19170000000000001</c:v>
                </c:pt>
                <c:pt idx="211">
                  <c:v>0.19209999999999999</c:v>
                </c:pt>
                <c:pt idx="212">
                  <c:v>0.19209999999999999</c:v>
                </c:pt>
                <c:pt idx="213">
                  <c:v>0.1925</c:v>
                </c:pt>
                <c:pt idx="214">
                  <c:v>0.1925</c:v>
                </c:pt>
                <c:pt idx="215">
                  <c:v>0.1938</c:v>
                </c:pt>
                <c:pt idx="216">
                  <c:v>0.1938</c:v>
                </c:pt>
                <c:pt idx="217">
                  <c:v>0.19420000000000001</c:v>
                </c:pt>
                <c:pt idx="218">
                  <c:v>0.1946</c:v>
                </c:pt>
                <c:pt idx="219">
                  <c:v>0.1946</c:v>
                </c:pt>
                <c:pt idx="220">
                  <c:v>0.19539999999999999</c:v>
                </c:pt>
                <c:pt idx="221">
                  <c:v>0.1958</c:v>
                </c:pt>
                <c:pt idx="222">
                  <c:v>0.1958</c:v>
                </c:pt>
                <c:pt idx="223">
                  <c:v>0.19620000000000001</c:v>
                </c:pt>
                <c:pt idx="224">
                  <c:v>0.1966</c:v>
                </c:pt>
                <c:pt idx="225">
                  <c:v>0.19700000000000001</c:v>
                </c:pt>
                <c:pt idx="226">
                  <c:v>0.1971</c:v>
                </c:pt>
                <c:pt idx="227">
                  <c:v>0.19789999999999999</c:v>
                </c:pt>
                <c:pt idx="228">
                  <c:v>0.19869999999999999</c:v>
                </c:pt>
                <c:pt idx="229">
                  <c:v>0.19869999999999999</c:v>
                </c:pt>
                <c:pt idx="230">
                  <c:v>0.1991</c:v>
                </c:pt>
                <c:pt idx="231">
                  <c:v>0.19989999999999999</c:v>
                </c:pt>
                <c:pt idx="232">
                  <c:v>0.20039999999999999</c:v>
                </c:pt>
                <c:pt idx="233">
                  <c:v>0.20080000000000001</c:v>
                </c:pt>
                <c:pt idx="234">
                  <c:v>0.20080000000000001</c:v>
                </c:pt>
                <c:pt idx="235">
                  <c:v>0.20200000000000001</c:v>
                </c:pt>
                <c:pt idx="236">
                  <c:v>0.20200000000000001</c:v>
                </c:pt>
                <c:pt idx="237">
                  <c:v>0.2024</c:v>
                </c:pt>
                <c:pt idx="238">
                  <c:v>0.2029</c:v>
                </c:pt>
                <c:pt idx="239">
                  <c:v>0.2041</c:v>
                </c:pt>
                <c:pt idx="240">
                  <c:v>0.2049</c:v>
                </c:pt>
                <c:pt idx="241">
                  <c:v>0.20530000000000001</c:v>
                </c:pt>
                <c:pt idx="242">
                  <c:v>0.20619999999999999</c:v>
                </c:pt>
                <c:pt idx="243">
                  <c:v>0.20699999999999999</c:v>
                </c:pt>
                <c:pt idx="244">
                  <c:v>0.20699999999999999</c:v>
                </c:pt>
                <c:pt idx="245">
                  <c:v>0.2074</c:v>
                </c:pt>
                <c:pt idx="246">
                  <c:v>0.2087</c:v>
                </c:pt>
                <c:pt idx="247">
                  <c:v>0.20910000000000001</c:v>
                </c:pt>
                <c:pt idx="248">
                  <c:v>0.21029999999999999</c:v>
                </c:pt>
                <c:pt idx="249">
                  <c:v>0.2112</c:v>
                </c:pt>
                <c:pt idx="250">
                  <c:v>0.21240000000000001</c:v>
                </c:pt>
                <c:pt idx="251">
                  <c:v>0.21529999999999999</c:v>
                </c:pt>
                <c:pt idx="252">
                  <c:v>0.21740000000000001</c:v>
                </c:pt>
                <c:pt idx="253">
                  <c:v>0.21859999999999999</c:v>
                </c:pt>
                <c:pt idx="254">
                  <c:v>0.22359999999999999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D4-459D-9AEA-1ADA39F6FD4D}"/>
            </c:ext>
          </c:extLst>
        </c:ser>
        <c:ser>
          <c:idx val="3"/>
          <c:order val="2"/>
          <c:tx>
            <c:strRef>
              <c:f>'Figure 3a'!$G$7</c:f>
              <c:strCache>
                <c:ptCount val="1"/>
                <c:pt idx="0">
                  <c:v>Bilateralism, legal support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'Figure 3a'!$B$8:$B$262</c:f>
              <c:numCache>
                <c:formatCode>0.00</c:formatCode>
                <c:ptCount val="255"/>
                <c:pt idx="0">
                  <c:v>0</c:v>
                </c:pt>
                <c:pt idx="1">
                  <c:v>0.04</c:v>
                </c:pt>
                <c:pt idx="2">
                  <c:v>6.6600000000000006E-2</c:v>
                </c:pt>
                <c:pt idx="3">
                  <c:v>0.08</c:v>
                </c:pt>
                <c:pt idx="4">
                  <c:v>0.1066</c:v>
                </c:pt>
                <c:pt idx="5">
                  <c:v>0.12</c:v>
                </c:pt>
                <c:pt idx="6">
                  <c:v>0.13320000000000001</c:v>
                </c:pt>
                <c:pt idx="7">
                  <c:v>0.13339999999999999</c:v>
                </c:pt>
                <c:pt idx="8">
                  <c:v>0.14660000000000001</c:v>
                </c:pt>
                <c:pt idx="9">
                  <c:v>0.16</c:v>
                </c:pt>
                <c:pt idx="10">
                  <c:v>0.17319999999999999</c:v>
                </c:pt>
                <c:pt idx="11">
                  <c:v>0.1734</c:v>
                </c:pt>
                <c:pt idx="12">
                  <c:v>0.18</c:v>
                </c:pt>
                <c:pt idx="13">
                  <c:v>0.18340000000000001</c:v>
                </c:pt>
                <c:pt idx="14">
                  <c:v>0.18659999999999999</c:v>
                </c:pt>
                <c:pt idx="15">
                  <c:v>0.19980000000000001</c:v>
                </c:pt>
                <c:pt idx="16">
                  <c:v>0.2</c:v>
                </c:pt>
                <c:pt idx="17">
                  <c:v>0.2132</c:v>
                </c:pt>
                <c:pt idx="18">
                  <c:v>0.21340000000000001</c:v>
                </c:pt>
                <c:pt idx="19">
                  <c:v>0.21659999999999999</c:v>
                </c:pt>
                <c:pt idx="20">
                  <c:v>0.22339999999999999</c:v>
                </c:pt>
                <c:pt idx="21">
                  <c:v>0.2266</c:v>
                </c:pt>
                <c:pt idx="22">
                  <c:v>0.24</c:v>
                </c:pt>
                <c:pt idx="23">
                  <c:v>0.25</c:v>
                </c:pt>
                <c:pt idx="24">
                  <c:v>0.25319999999999998</c:v>
                </c:pt>
                <c:pt idx="25">
                  <c:v>0.25340000000000001</c:v>
                </c:pt>
                <c:pt idx="26">
                  <c:v>0.26340000000000002</c:v>
                </c:pt>
                <c:pt idx="27">
                  <c:v>0.2666</c:v>
                </c:pt>
                <c:pt idx="28">
                  <c:v>0.26679999999999998</c:v>
                </c:pt>
                <c:pt idx="29">
                  <c:v>0.27660000000000001</c:v>
                </c:pt>
                <c:pt idx="30">
                  <c:v>0.28000000000000003</c:v>
                </c:pt>
                <c:pt idx="31">
                  <c:v>0.28660000000000002</c:v>
                </c:pt>
                <c:pt idx="32">
                  <c:v>0.29320000000000002</c:v>
                </c:pt>
                <c:pt idx="33">
                  <c:v>0.29339999999999999</c:v>
                </c:pt>
                <c:pt idx="34">
                  <c:v>0.30659999999999998</c:v>
                </c:pt>
                <c:pt idx="35">
                  <c:v>0.30680000000000002</c:v>
                </c:pt>
                <c:pt idx="36">
                  <c:v>0.31659999999999999</c:v>
                </c:pt>
                <c:pt idx="37">
                  <c:v>0.31979999999999997</c:v>
                </c:pt>
                <c:pt idx="38">
                  <c:v>0.32</c:v>
                </c:pt>
                <c:pt idx="39">
                  <c:v>0.32319999999999999</c:v>
                </c:pt>
                <c:pt idx="40">
                  <c:v>0.33</c:v>
                </c:pt>
                <c:pt idx="41">
                  <c:v>0.3332</c:v>
                </c:pt>
                <c:pt idx="42">
                  <c:v>0.33339999999999997</c:v>
                </c:pt>
                <c:pt idx="43">
                  <c:v>0.34339999999999998</c:v>
                </c:pt>
                <c:pt idx="44">
                  <c:v>0.34660000000000002</c:v>
                </c:pt>
                <c:pt idx="45">
                  <c:v>0.3468</c:v>
                </c:pt>
                <c:pt idx="46">
                  <c:v>0.35</c:v>
                </c:pt>
                <c:pt idx="47">
                  <c:v>0.35339999999999999</c:v>
                </c:pt>
                <c:pt idx="48">
                  <c:v>0.35680000000000001</c:v>
                </c:pt>
                <c:pt idx="49">
                  <c:v>0.35980000000000001</c:v>
                </c:pt>
                <c:pt idx="50">
                  <c:v>0.36</c:v>
                </c:pt>
                <c:pt idx="51">
                  <c:v>0.3634</c:v>
                </c:pt>
                <c:pt idx="52">
                  <c:v>0.36659999999999998</c:v>
                </c:pt>
                <c:pt idx="53">
                  <c:v>0.37319999999999998</c:v>
                </c:pt>
                <c:pt idx="54">
                  <c:v>0.37340000000000001</c:v>
                </c:pt>
                <c:pt idx="55">
                  <c:v>0.37659999999999999</c:v>
                </c:pt>
                <c:pt idx="56">
                  <c:v>0.38</c:v>
                </c:pt>
                <c:pt idx="57">
                  <c:v>0.38319999999999999</c:v>
                </c:pt>
                <c:pt idx="58">
                  <c:v>0.38340000000000002</c:v>
                </c:pt>
                <c:pt idx="59">
                  <c:v>0.3866</c:v>
                </c:pt>
                <c:pt idx="60">
                  <c:v>0.38679999999999998</c:v>
                </c:pt>
                <c:pt idx="61">
                  <c:v>0.38979999999999998</c:v>
                </c:pt>
                <c:pt idx="62">
                  <c:v>0.39</c:v>
                </c:pt>
                <c:pt idx="63">
                  <c:v>0.39319999999999999</c:v>
                </c:pt>
                <c:pt idx="64">
                  <c:v>0.39340000000000003</c:v>
                </c:pt>
                <c:pt idx="65">
                  <c:v>0.39660000000000001</c:v>
                </c:pt>
                <c:pt idx="66">
                  <c:v>0.39679999999999999</c:v>
                </c:pt>
                <c:pt idx="67">
                  <c:v>0.39979999999999999</c:v>
                </c:pt>
                <c:pt idx="68">
                  <c:v>0.4</c:v>
                </c:pt>
                <c:pt idx="69">
                  <c:v>0.4002</c:v>
                </c:pt>
                <c:pt idx="70">
                  <c:v>0.41</c:v>
                </c:pt>
                <c:pt idx="71">
                  <c:v>0.41320000000000001</c:v>
                </c:pt>
                <c:pt idx="72">
                  <c:v>0.41339999999999999</c:v>
                </c:pt>
                <c:pt idx="73">
                  <c:v>0.41660000000000003</c:v>
                </c:pt>
                <c:pt idx="74">
                  <c:v>0.4234</c:v>
                </c:pt>
                <c:pt idx="75">
                  <c:v>0.42659999999999998</c:v>
                </c:pt>
                <c:pt idx="76">
                  <c:v>0.42680000000000001</c:v>
                </c:pt>
                <c:pt idx="77">
                  <c:v>0.43340000000000001</c:v>
                </c:pt>
                <c:pt idx="78">
                  <c:v>0.44</c:v>
                </c:pt>
                <c:pt idx="79">
                  <c:v>0.44019999999999998</c:v>
                </c:pt>
                <c:pt idx="80">
                  <c:v>0.44319999999999998</c:v>
                </c:pt>
                <c:pt idx="81">
                  <c:v>0.44340000000000002</c:v>
                </c:pt>
                <c:pt idx="82">
                  <c:v>0.4466</c:v>
                </c:pt>
                <c:pt idx="83">
                  <c:v>0.44679999999999997</c:v>
                </c:pt>
                <c:pt idx="84">
                  <c:v>0.45</c:v>
                </c:pt>
                <c:pt idx="85">
                  <c:v>0.45019999999999999</c:v>
                </c:pt>
                <c:pt idx="86">
                  <c:v>0.45319999999999999</c:v>
                </c:pt>
                <c:pt idx="87">
                  <c:v>0.45340000000000003</c:v>
                </c:pt>
                <c:pt idx="88">
                  <c:v>0.45979999999999999</c:v>
                </c:pt>
                <c:pt idx="89">
                  <c:v>0.46</c:v>
                </c:pt>
                <c:pt idx="90">
                  <c:v>0.46339999999999998</c:v>
                </c:pt>
                <c:pt idx="91">
                  <c:v>0.46660000000000001</c:v>
                </c:pt>
                <c:pt idx="92">
                  <c:v>0.46679999999999999</c:v>
                </c:pt>
                <c:pt idx="93">
                  <c:v>0.4698</c:v>
                </c:pt>
                <c:pt idx="94">
                  <c:v>0.47</c:v>
                </c:pt>
                <c:pt idx="95">
                  <c:v>0.47660000000000002</c:v>
                </c:pt>
                <c:pt idx="96">
                  <c:v>0.4768</c:v>
                </c:pt>
                <c:pt idx="97">
                  <c:v>0.48</c:v>
                </c:pt>
                <c:pt idx="98">
                  <c:v>0.48020000000000002</c:v>
                </c:pt>
                <c:pt idx="99">
                  <c:v>0.48320000000000002</c:v>
                </c:pt>
                <c:pt idx="100">
                  <c:v>0.4834</c:v>
                </c:pt>
                <c:pt idx="101">
                  <c:v>0.49</c:v>
                </c:pt>
                <c:pt idx="102">
                  <c:v>0.49320000000000003</c:v>
                </c:pt>
                <c:pt idx="103">
                  <c:v>0.49340000000000001</c:v>
                </c:pt>
                <c:pt idx="104">
                  <c:v>0.49659999999999999</c:v>
                </c:pt>
                <c:pt idx="105">
                  <c:v>0.49680000000000002</c:v>
                </c:pt>
                <c:pt idx="106">
                  <c:v>0.5</c:v>
                </c:pt>
                <c:pt idx="107">
                  <c:v>0.50660000000000005</c:v>
                </c:pt>
                <c:pt idx="108">
                  <c:v>0.50680000000000003</c:v>
                </c:pt>
                <c:pt idx="109">
                  <c:v>0.51</c:v>
                </c:pt>
                <c:pt idx="110">
                  <c:v>0.51659999999999995</c:v>
                </c:pt>
                <c:pt idx="111">
                  <c:v>0.51680000000000004</c:v>
                </c:pt>
                <c:pt idx="112">
                  <c:v>0.52</c:v>
                </c:pt>
                <c:pt idx="113">
                  <c:v>0.5202</c:v>
                </c:pt>
                <c:pt idx="114">
                  <c:v>0.52339999999999998</c:v>
                </c:pt>
                <c:pt idx="115">
                  <c:v>0.52659999999999996</c:v>
                </c:pt>
                <c:pt idx="116">
                  <c:v>0.52680000000000005</c:v>
                </c:pt>
                <c:pt idx="117">
                  <c:v>0.53</c:v>
                </c:pt>
                <c:pt idx="118">
                  <c:v>0.53320000000000001</c:v>
                </c:pt>
                <c:pt idx="119">
                  <c:v>0.53339999999999999</c:v>
                </c:pt>
                <c:pt idx="120">
                  <c:v>0.53659999999999997</c:v>
                </c:pt>
                <c:pt idx="121">
                  <c:v>0.54</c:v>
                </c:pt>
                <c:pt idx="122">
                  <c:v>0.54320000000000002</c:v>
                </c:pt>
                <c:pt idx="123">
                  <c:v>0.54339999999999999</c:v>
                </c:pt>
                <c:pt idx="124">
                  <c:v>0.54659999999999997</c:v>
                </c:pt>
                <c:pt idx="125">
                  <c:v>0.54679999999999995</c:v>
                </c:pt>
                <c:pt idx="126">
                  <c:v>0.55000000000000004</c:v>
                </c:pt>
                <c:pt idx="127">
                  <c:v>0.55320000000000003</c:v>
                </c:pt>
                <c:pt idx="128">
                  <c:v>0.56000000000000005</c:v>
                </c:pt>
                <c:pt idx="129">
                  <c:v>0.56020000000000003</c:v>
                </c:pt>
                <c:pt idx="130">
                  <c:v>0.56340000000000001</c:v>
                </c:pt>
                <c:pt idx="131">
                  <c:v>0.56659999999999999</c:v>
                </c:pt>
                <c:pt idx="132">
                  <c:v>0.56679999999999997</c:v>
                </c:pt>
                <c:pt idx="133">
                  <c:v>0.56999999999999995</c:v>
                </c:pt>
                <c:pt idx="134">
                  <c:v>0.57320000000000004</c:v>
                </c:pt>
                <c:pt idx="135">
                  <c:v>0.57340000000000002</c:v>
                </c:pt>
                <c:pt idx="136">
                  <c:v>0.5766</c:v>
                </c:pt>
                <c:pt idx="137">
                  <c:v>0.57679999999999998</c:v>
                </c:pt>
                <c:pt idx="138">
                  <c:v>0.57999999999999996</c:v>
                </c:pt>
                <c:pt idx="139">
                  <c:v>0.58020000000000005</c:v>
                </c:pt>
                <c:pt idx="140">
                  <c:v>0.58320000000000005</c:v>
                </c:pt>
                <c:pt idx="141">
                  <c:v>0.58340000000000003</c:v>
                </c:pt>
                <c:pt idx="142">
                  <c:v>0.58660000000000001</c:v>
                </c:pt>
                <c:pt idx="143">
                  <c:v>0.58679999999999999</c:v>
                </c:pt>
                <c:pt idx="144">
                  <c:v>0.59319999999999995</c:v>
                </c:pt>
                <c:pt idx="145">
                  <c:v>0.59340000000000004</c:v>
                </c:pt>
                <c:pt idx="146">
                  <c:v>0.59660000000000002</c:v>
                </c:pt>
                <c:pt idx="147">
                  <c:v>0.5968</c:v>
                </c:pt>
                <c:pt idx="148">
                  <c:v>0.5998</c:v>
                </c:pt>
                <c:pt idx="149">
                  <c:v>0.6</c:v>
                </c:pt>
                <c:pt idx="150">
                  <c:v>0.60019999999999996</c:v>
                </c:pt>
                <c:pt idx="151">
                  <c:v>0.60319999999999996</c:v>
                </c:pt>
                <c:pt idx="152">
                  <c:v>0.60340000000000005</c:v>
                </c:pt>
                <c:pt idx="153">
                  <c:v>0.60680000000000001</c:v>
                </c:pt>
                <c:pt idx="154">
                  <c:v>0.61</c:v>
                </c:pt>
                <c:pt idx="155">
                  <c:v>0.61019999999999996</c:v>
                </c:pt>
                <c:pt idx="156">
                  <c:v>0.61319999999999997</c:v>
                </c:pt>
                <c:pt idx="157">
                  <c:v>0.61339999999999995</c:v>
                </c:pt>
                <c:pt idx="158">
                  <c:v>0.61660000000000004</c:v>
                </c:pt>
                <c:pt idx="159">
                  <c:v>0.61680000000000001</c:v>
                </c:pt>
                <c:pt idx="160">
                  <c:v>0.62</c:v>
                </c:pt>
                <c:pt idx="161">
                  <c:v>0.62019999999999997</c:v>
                </c:pt>
                <c:pt idx="162">
                  <c:v>0.62339999999999995</c:v>
                </c:pt>
                <c:pt idx="163">
                  <c:v>0.62660000000000005</c:v>
                </c:pt>
                <c:pt idx="164">
                  <c:v>0.62680000000000002</c:v>
                </c:pt>
                <c:pt idx="165">
                  <c:v>0.63</c:v>
                </c:pt>
                <c:pt idx="166">
                  <c:v>0.63319999999999999</c:v>
                </c:pt>
                <c:pt idx="167">
                  <c:v>0.63339999999999996</c:v>
                </c:pt>
                <c:pt idx="168">
                  <c:v>0.63680000000000003</c:v>
                </c:pt>
                <c:pt idx="169">
                  <c:v>0.64</c:v>
                </c:pt>
                <c:pt idx="170">
                  <c:v>0.64319999999999999</c:v>
                </c:pt>
                <c:pt idx="171">
                  <c:v>0.64339999999999997</c:v>
                </c:pt>
                <c:pt idx="172">
                  <c:v>0.64659999999999995</c:v>
                </c:pt>
                <c:pt idx="173">
                  <c:v>0.65</c:v>
                </c:pt>
                <c:pt idx="174">
                  <c:v>0.6502</c:v>
                </c:pt>
                <c:pt idx="175">
                  <c:v>0.6532</c:v>
                </c:pt>
                <c:pt idx="176">
                  <c:v>0.65339999999999998</c:v>
                </c:pt>
                <c:pt idx="177">
                  <c:v>0.66</c:v>
                </c:pt>
                <c:pt idx="178">
                  <c:v>0.66020000000000001</c:v>
                </c:pt>
                <c:pt idx="179">
                  <c:v>0.66339999999999999</c:v>
                </c:pt>
                <c:pt idx="180">
                  <c:v>0.66659999999999997</c:v>
                </c:pt>
                <c:pt idx="181">
                  <c:v>0.66679999999999995</c:v>
                </c:pt>
                <c:pt idx="182">
                  <c:v>0.67</c:v>
                </c:pt>
                <c:pt idx="183">
                  <c:v>0.67659999999999998</c:v>
                </c:pt>
                <c:pt idx="184">
                  <c:v>0.67679999999999996</c:v>
                </c:pt>
                <c:pt idx="185">
                  <c:v>0.68</c:v>
                </c:pt>
                <c:pt idx="186">
                  <c:v>0.68020000000000003</c:v>
                </c:pt>
                <c:pt idx="187">
                  <c:v>0.68320000000000003</c:v>
                </c:pt>
                <c:pt idx="188">
                  <c:v>0.68340000000000001</c:v>
                </c:pt>
                <c:pt idx="189">
                  <c:v>0.68679999999999997</c:v>
                </c:pt>
                <c:pt idx="190">
                  <c:v>0.69320000000000004</c:v>
                </c:pt>
                <c:pt idx="191">
                  <c:v>0.69340000000000002</c:v>
                </c:pt>
                <c:pt idx="192">
                  <c:v>0.6966</c:v>
                </c:pt>
                <c:pt idx="193">
                  <c:v>0.69679999999999997</c:v>
                </c:pt>
                <c:pt idx="194">
                  <c:v>0.7</c:v>
                </c:pt>
                <c:pt idx="195">
                  <c:v>0.70020000000000004</c:v>
                </c:pt>
                <c:pt idx="196">
                  <c:v>0.70679999999999998</c:v>
                </c:pt>
                <c:pt idx="197">
                  <c:v>0.71</c:v>
                </c:pt>
                <c:pt idx="198">
                  <c:v>0.71020000000000005</c:v>
                </c:pt>
                <c:pt idx="199">
                  <c:v>0.71340000000000003</c:v>
                </c:pt>
                <c:pt idx="200">
                  <c:v>0.71660000000000001</c:v>
                </c:pt>
                <c:pt idx="201">
                  <c:v>0.71679999999999999</c:v>
                </c:pt>
                <c:pt idx="202">
                  <c:v>0.72</c:v>
                </c:pt>
                <c:pt idx="203">
                  <c:v>0.72660000000000002</c:v>
                </c:pt>
                <c:pt idx="204">
                  <c:v>0.7268</c:v>
                </c:pt>
                <c:pt idx="205">
                  <c:v>0.73</c:v>
                </c:pt>
                <c:pt idx="206">
                  <c:v>0.73319999999999996</c:v>
                </c:pt>
                <c:pt idx="207">
                  <c:v>0.73340000000000005</c:v>
                </c:pt>
                <c:pt idx="208">
                  <c:v>0.73660000000000003</c:v>
                </c:pt>
                <c:pt idx="209">
                  <c:v>0.73680000000000001</c:v>
                </c:pt>
                <c:pt idx="210">
                  <c:v>0.74339999999999995</c:v>
                </c:pt>
                <c:pt idx="211">
                  <c:v>0.74660000000000004</c:v>
                </c:pt>
                <c:pt idx="212">
                  <c:v>0.74680000000000002</c:v>
                </c:pt>
                <c:pt idx="213">
                  <c:v>0.75</c:v>
                </c:pt>
                <c:pt idx="214">
                  <c:v>0.75019999999999998</c:v>
                </c:pt>
                <c:pt idx="215">
                  <c:v>0.76</c:v>
                </c:pt>
                <c:pt idx="216">
                  <c:v>0.76019999999999999</c:v>
                </c:pt>
                <c:pt idx="217">
                  <c:v>0.76339999999999997</c:v>
                </c:pt>
                <c:pt idx="218">
                  <c:v>0.76659999999999995</c:v>
                </c:pt>
                <c:pt idx="219">
                  <c:v>0.76680000000000004</c:v>
                </c:pt>
                <c:pt idx="220">
                  <c:v>0.77339999999999998</c:v>
                </c:pt>
                <c:pt idx="221">
                  <c:v>0.77659999999999996</c:v>
                </c:pt>
                <c:pt idx="222">
                  <c:v>0.77680000000000005</c:v>
                </c:pt>
                <c:pt idx="223">
                  <c:v>0.78</c:v>
                </c:pt>
                <c:pt idx="224">
                  <c:v>0.78339999999999999</c:v>
                </c:pt>
                <c:pt idx="225">
                  <c:v>0.78659999999999997</c:v>
                </c:pt>
                <c:pt idx="226">
                  <c:v>0.78680000000000005</c:v>
                </c:pt>
                <c:pt idx="227">
                  <c:v>0.79339999999999999</c:v>
                </c:pt>
                <c:pt idx="228">
                  <c:v>0.8</c:v>
                </c:pt>
                <c:pt idx="229">
                  <c:v>0.80020000000000002</c:v>
                </c:pt>
                <c:pt idx="230">
                  <c:v>0.8034</c:v>
                </c:pt>
                <c:pt idx="231">
                  <c:v>0.81</c:v>
                </c:pt>
                <c:pt idx="232">
                  <c:v>0.81340000000000001</c:v>
                </c:pt>
                <c:pt idx="233">
                  <c:v>0.81659999999999999</c:v>
                </c:pt>
                <c:pt idx="234">
                  <c:v>0.81679999999999997</c:v>
                </c:pt>
                <c:pt idx="235">
                  <c:v>0.8266</c:v>
                </c:pt>
                <c:pt idx="236">
                  <c:v>0.82679999999999998</c:v>
                </c:pt>
                <c:pt idx="237">
                  <c:v>0.83</c:v>
                </c:pt>
                <c:pt idx="238">
                  <c:v>0.83340000000000003</c:v>
                </c:pt>
                <c:pt idx="239">
                  <c:v>0.84340000000000004</c:v>
                </c:pt>
                <c:pt idx="240">
                  <c:v>0.85</c:v>
                </c:pt>
                <c:pt idx="241">
                  <c:v>0.85340000000000005</c:v>
                </c:pt>
                <c:pt idx="242">
                  <c:v>0.86</c:v>
                </c:pt>
                <c:pt idx="243">
                  <c:v>0.86660000000000004</c:v>
                </c:pt>
                <c:pt idx="244">
                  <c:v>0.86680000000000001</c:v>
                </c:pt>
                <c:pt idx="245">
                  <c:v>0.87</c:v>
                </c:pt>
                <c:pt idx="246">
                  <c:v>0.88</c:v>
                </c:pt>
                <c:pt idx="247">
                  <c:v>0.88339999999999996</c:v>
                </c:pt>
                <c:pt idx="248">
                  <c:v>0.89339999999999997</c:v>
                </c:pt>
                <c:pt idx="249">
                  <c:v>0.9</c:v>
                </c:pt>
                <c:pt idx="250">
                  <c:v>0.91</c:v>
                </c:pt>
                <c:pt idx="251">
                  <c:v>0.93340000000000001</c:v>
                </c:pt>
                <c:pt idx="252">
                  <c:v>0.95</c:v>
                </c:pt>
                <c:pt idx="253">
                  <c:v>0.96</c:v>
                </c:pt>
                <c:pt idx="254">
                  <c:v>1</c:v>
                </c:pt>
              </c:numCache>
            </c:numRef>
          </c:xVal>
          <c:yVal>
            <c:numRef>
              <c:f>'Figure 3a'!$G$8:$G$262</c:f>
              <c:numCache>
                <c:formatCode>General</c:formatCode>
                <c:ptCount val="255"/>
                <c:pt idx="0">
                  <c:v>9.7699999999999995E-2</c:v>
                </c:pt>
                <c:pt idx="1">
                  <c:v>0.1017</c:v>
                </c:pt>
                <c:pt idx="2">
                  <c:v>0.10440000000000001</c:v>
                </c:pt>
                <c:pt idx="3">
                  <c:v>0.10580000000000001</c:v>
                </c:pt>
                <c:pt idx="4">
                  <c:v>0.1086</c:v>
                </c:pt>
                <c:pt idx="5">
                  <c:v>0.11</c:v>
                </c:pt>
                <c:pt idx="6">
                  <c:v>0.1115</c:v>
                </c:pt>
                <c:pt idx="7">
                  <c:v>0.1115</c:v>
                </c:pt>
                <c:pt idx="8">
                  <c:v>0.1129</c:v>
                </c:pt>
                <c:pt idx="9">
                  <c:v>0.1144</c:v>
                </c:pt>
                <c:pt idx="10">
                  <c:v>0.1158</c:v>
                </c:pt>
                <c:pt idx="11">
                  <c:v>0.1159</c:v>
                </c:pt>
                <c:pt idx="12">
                  <c:v>0.1166</c:v>
                </c:pt>
                <c:pt idx="13">
                  <c:v>0.11700000000000001</c:v>
                </c:pt>
                <c:pt idx="14">
                  <c:v>0.1173</c:v>
                </c:pt>
                <c:pt idx="15">
                  <c:v>0.1188</c:v>
                </c:pt>
                <c:pt idx="16">
                  <c:v>0.1188</c:v>
                </c:pt>
                <c:pt idx="17">
                  <c:v>0.1203</c:v>
                </c:pt>
                <c:pt idx="18">
                  <c:v>0.12039999999999999</c:v>
                </c:pt>
                <c:pt idx="19">
                  <c:v>0.1207</c:v>
                </c:pt>
                <c:pt idx="20">
                  <c:v>0.1215</c:v>
                </c:pt>
                <c:pt idx="21">
                  <c:v>0.12189999999999999</c:v>
                </c:pt>
                <c:pt idx="22">
                  <c:v>0.1234</c:v>
                </c:pt>
                <c:pt idx="23">
                  <c:v>0.1246</c:v>
                </c:pt>
                <c:pt idx="24">
                  <c:v>0.1249</c:v>
                </c:pt>
                <c:pt idx="25">
                  <c:v>0.125</c:v>
                </c:pt>
                <c:pt idx="26">
                  <c:v>0.12609999999999999</c:v>
                </c:pt>
                <c:pt idx="27">
                  <c:v>0.1265</c:v>
                </c:pt>
                <c:pt idx="28">
                  <c:v>0.1265</c:v>
                </c:pt>
                <c:pt idx="29">
                  <c:v>0.12770000000000001</c:v>
                </c:pt>
                <c:pt idx="30">
                  <c:v>0.12809999999999999</c:v>
                </c:pt>
                <c:pt idx="31">
                  <c:v>0.12889999999999999</c:v>
                </c:pt>
                <c:pt idx="32">
                  <c:v>0.12970000000000001</c:v>
                </c:pt>
                <c:pt idx="33">
                  <c:v>0.12970000000000001</c:v>
                </c:pt>
                <c:pt idx="34">
                  <c:v>0.1313</c:v>
                </c:pt>
                <c:pt idx="35">
                  <c:v>0.1313</c:v>
                </c:pt>
                <c:pt idx="36">
                  <c:v>0.13250000000000001</c:v>
                </c:pt>
                <c:pt idx="37">
                  <c:v>0.13289999999999999</c:v>
                </c:pt>
                <c:pt idx="38">
                  <c:v>0.13289999999999999</c:v>
                </c:pt>
                <c:pt idx="39">
                  <c:v>0.1333</c:v>
                </c:pt>
                <c:pt idx="40">
                  <c:v>0.1341</c:v>
                </c:pt>
                <c:pt idx="41">
                  <c:v>0.13450000000000001</c:v>
                </c:pt>
                <c:pt idx="42">
                  <c:v>0.13450000000000001</c:v>
                </c:pt>
                <c:pt idx="43">
                  <c:v>0.13569999999999999</c:v>
                </c:pt>
                <c:pt idx="44">
                  <c:v>0.1361</c:v>
                </c:pt>
                <c:pt idx="45">
                  <c:v>0.13619999999999999</c:v>
                </c:pt>
                <c:pt idx="46">
                  <c:v>0.1366</c:v>
                </c:pt>
                <c:pt idx="47">
                  <c:v>0.13700000000000001</c:v>
                </c:pt>
                <c:pt idx="48">
                  <c:v>0.13739999999999999</c:v>
                </c:pt>
                <c:pt idx="49">
                  <c:v>0.13780000000000001</c:v>
                </c:pt>
                <c:pt idx="50">
                  <c:v>0.13780000000000001</c:v>
                </c:pt>
                <c:pt idx="51">
                  <c:v>0.13819999999999999</c:v>
                </c:pt>
                <c:pt idx="52">
                  <c:v>0.1386</c:v>
                </c:pt>
                <c:pt idx="53">
                  <c:v>0.1394</c:v>
                </c:pt>
                <c:pt idx="54">
                  <c:v>0.13950000000000001</c:v>
                </c:pt>
                <c:pt idx="55">
                  <c:v>0.1399</c:v>
                </c:pt>
                <c:pt idx="56">
                  <c:v>0.14030000000000001</c:v>
                </c:pt>
                <c:pt idx="57">
                  <c:v>0.14069999999999999</c:v>
                </c:pt>
                <c:pt idx="58">
                  <c:v>0.14069999999999999</c:v>
                </c:pt>
                <c:pt idx="59">
                  <c:v>0.1411</c:v>
                </c:pt>
                <c:pt idx="60">
                  <c:v>0.1411</c:v>
                </c:pt>
                <c:pt idx="61">
                  <c:v>0.14149999999999999</c:v>
                </c:pt>
                <c:pt idx="62">
                  <c:v>0.14149999999999999</c:v>
                </c:pt>
                <c:pt idx="63">
                  <c:v>0.14199999999999999</c:v>
                </c:pt>
                <c:pt idx="64">
                  <c:v>0.14199999999999999</c:v>
                </c:pt>
                <c:pt idx="65">
                  <c:v>0.1424</c:v>
                </c:pt>
                <c:pt idx="66">
                  <c:v>0.1424</c:v>
                </c:pt>
                <c:pt idx="67">
                  <c:v>0.14280000000000001</c:v>
                </c:pt>
                <c:pt idx="68">
                  <c:v>0.14280000000000001</c:v>
                </c:pt>
                <c:pt idx="69">
                  <c:v>0.14280000000000001</c:v>
                </c:pt>
                <c:pt idx="70">
                  <c:v>0.14410000000000001</c:v>
                </c:pt>
                <c:pt idx="71">
                  <c:v>0.14449999999999999</c:v>
                </c:pt>
                <c:pt idx="72">
                  <c:v>0.14449999999999999</c:v>
                </c:pt>
                <c:pt idx="73">
                  <c:v>0.1449</c:v>
                </c:pt>
                <c:pt idx="74">
                  <c:v>0.14580000000000001</c:v>
                </c:pt>
                <c:pt idx="75">
                  <c:v>0.1462</c:v>
                </c:pt>
                <c:pt idx="76">
                  <c:v>0.1462</c:v>
                </c:pt>
                <c:pt idx="77">
                  <c:v>0.14710000000000001</c:v>
                </c:pt>
                <c:pt idx="78">
                  <c:v>0.1479</c:v>
                </c:pt>
                <c:pt idx="79">
                  <c:v>0.14799999999999999</c:v>
                </c:pt>
                <c:pt idx="80">
                  <c:v>0.1484</c:v>
                </c:pt>
                <c:pt idx="81">
                  <c:v>0.1484</c:v>
                </c:pt>
                <c:pt idx="82">
                  <c:v>0.14879999999999999</c:v>
                </c:pt>
                <c:pt idx="83">
                  <c:v>0.14879999999999999</c:v>
                </c:pt>
                <c:pt idx="84">
                  <c:v>0.1492</c:v>
                </c:pt>
                <c:pt idx="85">
                  <c:v>0.14929999999999999</c:v>
                </c:pt>
                <c:pt idx="86">
                  <c:v>0.1497</c:v>
                </c:pt>
                <c:pt idx="87">
                  <c:v>0.1497</c:v>
                </c:pt>
                <c:pt idx="88">
                  <c:v>0.15049999999999999</c:v>
                </c:pt>
                <c:pt idx="89">
                  <c:v>0.15049999999999999</c:v>
                </c:pt>
                <c:pt idx="90">
                  <c:v>0.151</c:v>
                </c:pt>
                <c:pt idx="91">
                  <c:v>0.15140000000000001</c:v>
                </c:pt>
                <c:pt idx="92">
                  <c:v>0.15140000000000001</c:v>
                </c:pt>
                <c:pt idx="93">
                  <c:v>0.15179999999999999</c:v>
                </c:pt>
                <c:pt idx="94">
                  <c:v>0.15190000000000001</c:v>
                </c:pt>
                <c:pt idx="95">
                  <c:v>0.1527</c:v>
                </c:pt>
                <c:pt idx="96">
                  <c:v>0.15279999999999999</c:v>
                </c:pt>
                <c:pt idx="97">
                  <c:v>0.1532</c:v>
                </c:pt>
                <c:pt idx="98">
                  <c:v>0.1532</c:v>
                </c:pt>
                <c:pt idx="99">
                  <c:v>0.15359999999999999</c:v>
                </c:pt>
                <c:pt idx="100">
                  <c:v>0.15359999999999999</c:v>
                </c:pt>
                <c:pt idx="101">
                  <c:v>0.1545</c:v>
                </c:pt>
                <c:pt idx="102">
                  <c:v>0.15490000000000001</c:v>
                </c:pt>
                <c:pt idx="103">
                  <c:v>0.155</c:v>
                </c:pt>
                <c:pt idx="104">
                  <c:v>0.15540000000000001</c:v>
                </c:pt>
                <c:pt idx="105">
                  <c:v>0.15540000000000001</c:v>
                </c:pt>
                <c:pt idx="106">
                  <c:v>0.15579999999999999</c:v>
                </c:pt>
                <c:pt idx="107">
                  <c:v>0.15670000000000001</c:v>
                </c:pt>
                <c:pt idx="108">
                  <c:v>0.15679999999999999</c:v>
                </c:pt>
                <c:pt idx="109">
                  <c:v>0.15720000000000001</c:v>
                </c:pt>
                <c:pt idx="110">
                  <c:v>0.15809999999999999</c:v>
                </c:pt>
                <c:pt idx="111">
                  <c:v>0.15809999999999999</c:v>
                </c:pt>
                <c:pt idx="112">
                  <c:v>0.1585</c:v>
                </c:pt>
                <c:pt idx="113">
                  <c:v>0.15859999999999999</c:v>
                </c:pt>
                <c:pt idx="114">
                  <c:v>0.159</c:v>
                </c:pt>
                <c:pt idx="115">
                  <c:v>0.15939999999999999</c:v>
                </c:pt>
                <c:pt idx="116">
                  <c:v>0.15939999999999999</c:v>
                </c:pt>
                <c:pt idx="117">
                  <c:v>0.15989999999999999</c:v>
                </c:pt>
                <c:pt idx="118">
                  <c:v>0.1603</c:v>
                </c:pt>
                <c:pt idx="119">
                  <c:v>0.1603</c:v>
                </c:pt>
                <c:pt idx="120">
                  <c:v>0.1608</c:v>
                </c:pt>
                <c:pt idx="121">
                  <c:v>0.16120000000000001</c:v>
                </c:pt>
                <c:pt idx="122">
                  <c:v>0.16170000000000001</c:v>
                </c:pt>
                <c:pt idx="123">
                  <c:v>0.16170000000000001</c:v>
                </c:pt>
                <c:pt idx="124">
                  <c:v>0.16209999999999999</c:v>
                </c:pt>
                <c:pt idx="125">
                  <c:v>0.16220000000000001</c:v>
                </c:pt>
                <c:pt idx="126">
                  <c:v>0.16259999999999999</c:v>
                </c:pt>
                <c:pt idx="127">
                  <c:v>0.16300000000000001</c:v>
                </c:pt>
                <c:pt idx="128">
                  <c:v>0.16400000000000001</c:v>
                </c:pt>
                <c:pt idx="129">
                  <c:v>0.16400000000000001</c:v>
                </c:pt>
                <c:pt idx="130">
                  <c:v>0.16439999999999999</c:v>
                </c:pt>
                <c:pt idx="131">
                  <c:v>0.16489999999999999</c:v>
                </c:pt>
                <c:pt idx="132">
                  <c:v>0.16489999999999999</c:v>
                </c:pt>
                <c:pt idx="133">
                  <c:v>0.1653</c:v>
                </c:pt>
                <c:pt idx="134">
                  <c:v>0.1658</c:v>
                </c:pt>
                <c:pt idx="135">
                  <c:v>0.1658</c:v>
                </c:pt>
                <c:pt idx="136">
                  <c:v>0.1663</c:v>
                </c:pt>
                <c:pt idx="137">
                  <c:v>0.1663</c:v>
                </c:pt>
                <c:pt idx="138">
                  <c:v>0.16669999999999999</c:v>
                </c:pt>
                <c:pt idx="139">
                  <c:v>0.1668</c:v>
                </c:pt>
                <c:pt idx="140">
                  <c:v>0.16719999999999999</c:v>
                </c:pt>
                <c:pt idx="141">
                  <c:v>0.16719999999999999</c:v>
                </c:pt>
                <c:pt idx="142">
                  <c:v>0.1676</c:v>
                </c:pt>
                <c:pt idx="143">
                  <c:v>0.16769999999999999</c:v>
                </c:pt>
                <c:pt idx="144">
                  <c:v>0.1686</c:v>
                </c:pt>
                <c:pt idx="145">
                  <c:v>0.1686</c:v>
                </c:pt>
                <c:pt idx="146">
                  <c:v>0.16900000000000001</c:v>
                </c:pt>
                <c:pt idx="147">
                  <c:v>0.1691</c:v>
                </c:pt>
                <c:pt idx="148">
                  <c:v>0.16950000000000001</c:v>
                </c:pt>
                <c:pt idx="149">
                  <c:v>0.16950000000000001</c:v>
                </c:pt>
                <c:pt idx="150">
                  <c:v>0.16950000000000001</c:v>
                </c:pt>
                <c:pt idx="151">
                  <c:v>0.17</c:v>
                </c:pt>
                <c:pt idx="152">
                  <c:v>0.17</c:v>
                </c:pt>
                <c:pt idx="153">
                  <c:v>0.17050000000000001</c:v>
                </c:pt>
                <c:pt idx="154">
                  <c:v>0.1709</c:v>
                </c:pt>
                <c:pt idx="155">
                  <c:v>0.1709</c:v>
                </c:pt>
                <c:pt idx="156">
                  <c:v>0.1714</c:v>
                </c:pt>
                <c:pt idx="157">
                  <c:v>0.1714</c:v>
                </c:pt>
                <c:pt idx="158">
                  <c:v>0.17180000000000001</c:v>
                </c:pt>
                <c:pt idx="159">
                  <c:v>0.1719</c:v>
                </c:pt>
                <c:pt idx="160">
                  <c:v>0.17230000000000001</c:v>
                </c:pt>
                <c:pt idx="161">
                  <c:v>0.1724</c:v>
                </c:pt>
                <c:pt idx="162">
                  <c:v>0.17280000000000001</c:v>
                </c:pt>
                <c:pt idx="163">
                  <c:v>0.17330000000000001</c:v>
                </c:pt>
                <c:pt idx="164">
                  <c:v>0.17330000000000001</c:v>
                </c:pt>
                <c:pt idx="165">
                  <c:v>0.17369999999999999</c:v>
                </c:pt>
                <c:pt idx="166">
                  <c:v>0.17419999999999999</c:v>
                </c:pt>
                <c:pt idx="167">
                  <c:v>0.17419999999999999</c:v>
                </c:pt>
                <c:pt idx="168">
                  <c:v>0.17469999999999999</c:v>
                </c:pt>
                <c:pt idx="169">
                  <c:v>0.17519999999999999</c:v>
                </c:pt>
                <c:pt idx="170">
                  <c:v>0.17560000000000001</c:v>
                </c:pt>
                <c:pt idx="171">
                  <c:v>0.17560000000000001</c:v>
                </c:pt>
                <c:pt idx="172">
                  <c:v>0.17610000000000001</c:v>
                </c:pt>
                <c:pt idx="173">
                  <c:v>0.17660000000000001</c:v>
                </c:pt>
                <c:pt idx="174">
                  <c:v>0.17660000000000001</c:v>
                </c:pt>
                <c:pt idx="175">
                  <c:v>0.17699999999999999</c:v>
                </c:pt>
                <c:pt idx="176">
                  <c:v>0.17710000000000001</c:v>
                </c:pt>
                <c:pt idx="177">
                  <c:v>0.17799999999999999</c:v>
                </c:pt>
                <c:pt idx="178">
                  <c:v>0.17799999999999999</c:v>
                </c:pt>
                <c:pt idx="179">
                  <c:v>0.17849999999999999</c:v>
                </c:pt>
                <c:pt idx="180">
                  <c:v>0.17899999999999999</c:v>
                </c:pt>
                <c:pt idx="181">
                  <c:v>0.17899999999999999</c:v>
                </c:pt>
                <c:pt idx="182">
                  <c:v>0.17949999999999999</c:v>
                </c:pt>
                <c:pt idx="183">
                  <c:v>0.1804</c:v>
                </c:pt>
                <c:pt idx="184">
                  <c:v>0.1804</c:v>
                </c:pt>
                <c:pt idx="185">
                  <c:v>0.18090000000000001</c:v>
                </c:pt>
                <c:pt idx="186">
                  <c:v>0.18090000000000001</c:v>
                </c:pt>
                <c:pt idx="187">
                  <c:v>0.18140000000000001</c:v>
                </c:pt>
                <c:pt idx="188">
                  <c:v>0.18140000000000001</c:v>
                </c:pt>
                <c:pt idx="189">
                  <c:v>0.18190000000000001</c:v>
                </c:pt>
                <c:pt idx="190">
                  <c:v>0.18279999999999999</c:v>
                </c:pt>
                <c:pt idx="191">
                  <c:v>0.18279999999999999</c:v>
                </c:pt>
                <c:pt idx="192">
                  <c:v>0.18329999999999999</c:v>
                </c:pt>
                <c:pt idx="193">
                  <c:v>0.18329999999999999</c:v>
                </c:pt>
                <c:pt idx="194">
                  <c:v>0.18379999999999999</c:v>
                </c:pt>
                <c:pt idx="195">
                  <c:v>0.18379999999999999</c:v>
                </c:pt>
                <c:pt idx="196">
                  <c:v>0.18479999999999999</c:v>
                </c:pt>
                <c:pt idx="197">
                  <c:v>0.18529999999999999</c:v>
                </c:pt>
                <c:pt idx="198">
                  <c:v>0.18529999999999999</c:v>
                </c:pt>
                <c:pt idx="199">
                  <c:v>0.18579999999999999</c:v>
                </c:pt>
                <c:pt idx="200">
                  <c:v>0.1862</c:v>
                </c:pt>
                <c:pt idx="201">
                  <c:v>0.18629999999999999</c:v>
                </c:pt>
                <c:pt idx="202">
                  <c:v>0.1867</c:v>
                </c:pt>
                <c:pt idx="203">
                  <c:v>0.18770000000000001</c:v>
                </c:pt>
                <c:pt idx="204">
                  <c:v>0.18770000000000001</c:v>
                </c:pt>
                <c:pt idx="205">
                  <c:v>0.18820000000000001</c:v>
                </c:pt>
                <c:pt idx="206">
                  <c:v>0.18870000000000001</c:v>
                </c:pt>
                <c:pt idx="207">
                  <c:v>0.18870000000000001</c:v>
                </c:pt>
                <c:pt idx="208">
                  <c:v>0.18920000000000001</c:v>
                </c:pt>
                <c:pt idx="209">
                  <c:v>0.18920000000000001</c:v>
                </c:pt>
                <c:pt idx="210">
                  <c:v>0.19020000000000001</c:v>
                </c:pt>
                <c:pt idx="211">
                  <c:v>0.19059999999999999</c:v>
                </c:pt>
                <c:pt idx="212">
                  <c:v>0.19070000000000001</c:v>
                </c:pt>
                <c:pt idx="213">
                  <c:v>0.19120000000000001</c:v>
                </c:pt>
                <c:pt idx="214">
                  <c:v>0.19120000000000001</c:v>
                </c:pt>
                <c:pt idx="215">
                  <c:v>0.19259999999999999</c:v>
                </c:pt>
                <c:pt idx="216">
                  <c:v>0.19270000000000001</c:v>
                </c:pt>
                <c:pt idx="217">
                  <c:v>0.19309999999999999</c:v>
                </c:pt>
                <c:pt idx="218">
                  <c:v>0.19359999999999999</c:v>
                </c:pt>
                <c:pt idx="219">
                  <c:v>0.19359999999999999</c:v>
                </c:pt>
                <c:pt idx="220">
                  <c:v>0.1946</c:v>
                </c:pt>
                <c:pt idx="221">
                  <c:v>0.1951</c:v>
                </c:pt>
                <c:pt idx="222">
                  <c:v>0.1951</c:v>
                </c:pt>
                <c:pt idx="223">
                  <c:v>0.1956</c:v>
                </c:pt>
                <c:pt idx="224">
                  <c:v>0.1961</c:v>
                </c:pt>
                <c:pt idx="225">
                  <c:v>0.1966</c:v>
                </c:pt>
                <c:pt idx="226">
                  <c:v>0.1966</c:v>
                </c:pt>
                <c:pt idx="227">
                  <c:v>0.1976</c:v>
                </c:pt>
                <c:pt idx="228">
                  <c:v>0.1986</c:v>
                </c:pt>
                <c:pt idx="229">
                  <c:v>0.19869999999999999</c:v>
                </c:pt>
                <c:pt idx="230">
                  <c:v>0.1991</c:v>
                </c:pt>
                <c:pt idx="231">
                  <c:v>0.2001</c:v>
                </c:pt>
                <c:pt idx="232">
                  <c:v>0.20069999999999999</c:v>
                </c:pt>
                <c:pt idx="233">
                  <c:v>0.2011</c:v>
                </c:pt>
                <c:pt idx="234">
                  <c:v>0.20119999999999999</c:v>
                </c:pt>
                <c:pt idx="235">
                  <c:v>0.20269999999999999</c:v>
                </c:pt>
                <c:pt idx="236">
                  <c:v>0.20269999999999999</c:v>
                </c:pt>
                <c:pt idx="237">
                  <c:v>0.20319999999999999</c:v>
                </c:pt>
                <c:pt idx="238">
                  <c:v>0.20369999999999999</c:v>
                </c:pt>
                <c:pt idx="239">
                  <c:v>0.20519999999999999</c:v>
                </c:pt>
                <c:pt idx="240">
                  <c:v>0.20619999999999999</c:v>
                </c:pt>
                <c:pt idx="241">
                  <c:v>0.20680000000000001</c:v>
                </c:pt>
                <c:pt idx="242">
                  <c:v>0.20780000000000001</c:v>
                </c:pt>
                <c:pt idx="243">
                  <c:v>0.20880000000000001</c:v>
                </c:pt>
                <c:pt idx="244">
                  <c:v>0.20880000000000001</c:v>
                </c:pt>
                <c:pt idx="245">
                  <c:v>0.20930000000000001</c:v>
                </c:pt>
                <c:pt idx="246">
                  <c:v>0.21079999999999999</c:v>
                </c:pt>
                <c:pt idx="247">
                  <c:v>0.2114</c:v>
                </c:pt>
                <c:pt idx="248">
                  <c:v>0.21290000000000001</c:v>
                </c:pt>
                <c:pt idx="249">
                  <c:v>0.21390000000000001</c:v>
                </c:pt>
                <c:pt idx="250">
                  <c:v>0.2155</c:v>
                </c:pt>
                <c:pt idx="251">
                  <c:v>0.21920000000000001</c:v>
                </c:pt>
                <c:pt idx="252">
                  <c:v>0.2218</c:v>
                </c:pt>
                <c:pt idx="253">
                  <c:v>0.2233</c:v>
                </c:pt>
                <c:pt idx="254">
                  <c:v>0.22969999999999999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D4-459D-9AEA-1ADA39F6FD4D}"/>
            </c:ext>
          </c:extLst>
        </c:ser>
        <c:ser>
          <c:idx val="4"/>
          <c:order val="3"/>
          <c:tx>
            <c:strRef>
              <c:f>'Figure 3a'!$I$7</c:f>
              <c:strCache>
                <c:ptCount val="1"/>
                <c:pt idx="0">
                  <c:v>Strong comprehensive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'Figure 3a'!$B$8:$B$262</c:f>
              <c:numCache>
                <c:formatCode>0.00</c:formatCode>
                <c:ptCount val="255"/>
                <c:pt idx="0">
                  <c:v>0</c:v>
                </c:pt>
                <c:pt idx="1">
                  <c:v>0.04</c:v>
                </c:pt>
                <c:pt idx="2">
                  <c:v>6.6600000000000006E-2</c:v>
                </c:pt>
                <c:pt idx="3">
                  <c:v>0.08</c:v>
                </c:pt>
                <c:pt idx="4">
                  <c:v>0.1066</c:v>
                </c:pt>
                <c:pt idx="5">
                  <c:v>0.12</c:v>
                </c:pt>
                <c:pt idx="6">
                  <c:v>0.13320000000000001</c:v>
                </c:pt>
                <c:pt idx="7">
                  <c:v>0.13339999999999999</c:v>
                </c:pt>
                <c:pt idx="8">
                  <c:v>0.14660000000000001</c:v>
                </c:pt>
                <c:pt idx="9">
                  <c:v>0.16</c:v>
                </c:pt>
                <c:pt idx="10">
                  <c:v>0.17319999999999999</c:v>
                </c:pt>
                <c:pt idx="11">
                  <c:v>0.1734</c:v>
                </c:pt>
                <c:pt idx="12">
                  <c:v>0.18</c:v>
                </c:pt>
                <c:pt idx="13">
                  <c:v>0.18340000000000001</c:v>
                </c:pt>
                <c:pt idx="14">
                  <c:v>0.18659999999999999</c:v>
                </c:pt>
                <c:pt idx="15">
                  <c:v>0.19980000000000001</c:v>
                </c:pt>
                <c:pt idx="16">
                  <c:v>0.2</c:v>
                </c:pt>
                <c:pt idx="17">
                  <c:v>0.2132</c:v>
                </c:pt>
                <c:pt idx="18">
                  <c:v>0.21340000000000001</c:v>
                </c:pt>
                <c:pt idx="19">
                  <c:v>0.21659999999999999</c:v>
                </c:pt>
                <c:pt idx="20">
                  <c:v>0.22339999999999999</c:v>
                </c:pt>
                <c:pt idx="21">
                  <c:v>0.2266</c:v>
                </c:pt>
                <c:pt idx="22">
                  <c:v>0.24</c:v>
                </c:pt>
                <c:pt idx="23">
                  <c:v>0.25</c:v>
                </c:pt>
                <c:pt idx="24">
                  <c:v>0.25319999999999998</c:v>
                </c:pt>
                <c:pt idx="25">
                  <c:v>0.25340000000000001</c:v>
                </c:pt>
                <c:pt idx="26">
                  <c:v>0.26340000000000002</c:v>
                </c:pt>
                <c:pt idx="27">
                  <c:v>0.2666</c:v>
                </c:pt>
                <c:pt idx="28">
                  <c:v>0.26679999999999998</c:v>
                </c:pt>
                <c:pt idx="29">
                  <c:v>0.27660000000000001</c:v>
                </c:pt>
                <c:pt idx="30">
                  <c:v>0.28000000000000003</c:v>
                </c:pt>
                <c:pt idx="31">
                  <c:v>0.28660000000000002</c:v>
                </c:pt>
                <c:pt idx="32">
                  <c:v>0.29320000000000002</c:v>
                </c:pt>
                <c:pt idx="33">
                  <c:v>0.29339999999999999</c:v>
                </c:pt>
                <c:pt idx="34">
                  <c:v>0.30659999999999998</c:v>
                </c:pt>
                <c:pt idx="35">
                  <c:v>0.30680000000000002</c:v>
                </c:pt>
                <c:pt idx="36">
                  <c:v>0.31659999999999999</c:v>
                </c:pt>
                <c:pt idx="37">
                  <c:v>0.31979999999999997</c:v>
                </c:pt>
                <c:pt idx="38">
                  <c:v>0.32</c:v>
                </c:pt>
                <c:pt idx="39">
                  <c:v>0.32319999999999999</c:v>
                </c:pt>
                <c:pt idx="40">
                  <c:v>0.33</c:v>
                </c:pt>
                <c:pt idx="41">
                  <c:v>0.3332</c:v>
                </c:pt>
                <c:pt idx="42">
                  <c:v>0.33339999999999997</c:v>
                </c:pt>
                <c:pt idx="43">
                  <c:v>0.34339999999999998</c:v>
                </c:pt>
                <c:pt idx="44">
                  <c:v>0.34660000000000002</c:v>
                </c:pt>
                <c:pt idx="45">
                  <c:v>0.3468</c:v>
                </c:pt>
                <c:pt idx="46">
                  <c:v>0.35</c:v>
                </c:pt>
                <c:pt idx="47">
                  <c:v>0.35339999999999999</c:v>
                </c:pt>
                <c:pt idx="48">
                  <c:v>0.35680000000000001</c:v>
                </c:pt>
                <c:pt idx="49">
                  <c:v>0.35980000000000001</c:v>
                </c:pt>
                <c:pt idx="50">
                  <c:v>0.36</c:v>
                </c:pt>
                <c:pt idx="51">
                  <c:v>0.3634</c:v>
                </c:pt>
                <c:pt idx="52">
                  <c:v>0.36659999999999998</c:v>
                </c:pt>
                <c:pt idx="53">
                  <c:v>0.37319999999999998</c:v>
                </c:pt>
                <c:pt idx="54">
                  <c:v>0.37340000000000001</c:v>
                </c:pt>
                <c:pt idx="55">
                  <c:v>0.37659999999999999</c:v>
                </c:pt>
                <c:pt idx="56">
                  <c:v>0.38</c:v>
                </c:pt>
                <c:pt idx="57">
                  <c:v>0.38319999999999999</c:v>
                </c:pt>
                <c:pt idx="58">
                  <c:v>0.38340000000000002</c:v>
                </c:pt>
                <c:pt idx="59">
                  <c:v>0.3866</c:v>
                </c:pt>
                <c:pt idx="60">
                  <c:v>0.38679999999999998</c:v>
                </c:pt>
                <c:pt idx="61">
                  <c:v>0.38979999999999998</c:v>
                </c:pt>
                <c:pt idx="62">
                  <c:v>0.39</c:v>
                </c:pt>
                <c:pt idx="63">
                  <c:v>0.39319999999999999</c:v>
                </c:pt>
                <c:pt idx="64">
                  <c:v>0.39340000000000003</c:v>
                </c:pt>
                <c:pt idx="65">
                  <c:v>0.39660000000000001</c:v>
                </c:pt>
                <c:pt idx="66">
                  <c:v>0.39679999999999999</c:v>
                </c:pt>
                <c:pt idx="67">
                  <c:v>0.39979999999999999</c:v>
                </c:pt>
                <c:pt idx="68">
                  <c:v>0.4</c:v>
                </c:pt>
                <c:pt idx="69">
                  <c:v>0.4002</c:v>
                </c:pt>
                <c:pt idx="70">
                  <c:v>0.41</c:v>
                </c:pt>
                <c:pt idx="71">
                  <c:v>0.41320000000000001</c:v>
                </c:pt>
                <c:pt idx="72">
                  <c:v>0.41339999999999999</c:v>
                </c:pt>
                <c:pt idx="73">
                  <c:v>0.41660000000000003</c:v>
                </c:pt>
                <c:pt idx="74">
                  <c:v>0.4234</c:v>
                </c:pt>
                <c:pt idx="75">
                  <c:v>0.42659999999999998</c:v>
                </c:pt>
                <c:pt idx="76">
                  <c:v>0.42680000000000001</c:v>
                </c:pt>
                <c:pt idx="77">
                  <c:v>0.43340000000000001</c:v>
                </c:pt>
                <c:pt idx="78">
                  <c:v>0.44</c:v>
                </c:pt>
                <c:pt idx="79">
                  <c:v>0.44019999999999998</c:v>
                </c:pt>
                <c:pt idx="80">
                  <c:v>0.44319999999999998</c:v>
                </c:pt>
                <c:pt idx="81">
                  <c:v>0.44340000000000002</c:v>
                </c:pt>
                <c:pt idx="82">
                  <c:v>0.4466</c:v>
                </c:pt>
                <c:pt idx="83">
                  <c:v>0.44679999999999997</c:v>
                </c:pt>
                <c:pt idx="84">
                  <c:v>0.45</c:v>
                </c:pt>
                <c:pt idx="85">
                  <c:v>0.45019999999999999</c:v>
                </c:pt>
                <c:pt idx="86">
                  <c:v>0.45319999999999999</c:v>
                </c:pt>
                <c:pt idx="87">
                  <c:v>0.45340000000000003</c:v>
                </c:pt>
                <c:pt idx="88">
                  <c:v>0.45979999999999999</c:v>
                </c:pt>
                <c:pt idx="89">
                  <c:v>0.46</c:v>
                </c:pt>
                <c:pt idx="90">
                  <c:v>0.46339999999999998</c:v>
                </c:pt>
                <c:pt idx="91">
                  <c:v>0.46660000000000001</c:v>
                </c:pt>
                <c:pt idx="92">
                  <c:v>0.46679999999999999</c:v>
                </c:pt>
                <c:pt idx="93">
                  <c:v>0.4698</c:v>
                </c:pt>
                <c:pt idx="94">
                  <c:v>0.47</c:v>
                </c:pt>
                <c:pt idx="95">
                  <c:v>0.47660000000000002</c:v>
                </c:pt>
                <c:pt idx="96">
                  <c:v>0.4768</c:v>
                </c:pt>
                <c:pt idx="97">
                  <c:v>0.48</c:v>
                </c:pt>
                <c:pt idx="98">
                  <c:v>0.48020000000000002</c:v>
                </c:pt>
                <c:pt idx="99">
                  <c:v>0.48320000000000002</c:v>
                </c:pt>
                <c:pt idx="100">
                  <c:v>0.4834</c:v>
                </c:pt>
                <c:pt idx="101">
                  <c:v>0.49</c:v>
                </c:pt>
                <c:pt idx="102">
                  <c:v>0.49320000000000003</c:v>
                </c:pt>
                <c:pt idx="103">
                  <c:v>0.49340000000000001</c:v>
                </c:pt>
                <c:pt idx="104">
                  <c:v>0.49659999999999999</c:v>
                </c:pt>
                <c:pt idx="105">
                  <c:v>0.49680000000000002</c:v>
                </c:pt>
                <c:pt idx="106">
                  <c:v>0.5</c:v>
                </c:pt>
                <c:pt idx="107">
                  <c:v>0.50660000000000005</c:v>
                </c:pt>
                <c:pt idx="108">
                  <c:v>0.50680000000000003</c:v>
                </c:pt>
                <c:pt idx="109">
                  <c:v>0.51</c:v>
                </c:pt>
                <c:pt idx="110">
                  <c:v>0.51659999999999995</c:v>
                </c:pt>
                <c:pt idx="111">
                  <c:v>0.51680000000000004</c:v>
                </c:pt>
                <c:pt idx="112">
                  <c:v>0.52</c:v>
                </c:pt>
                <c:pt idx="113">
                  <c:v>0.5202</c:v>
                </c:pt>
                <c:pt idx="114">
                  <c:v>0.52339999999999998</c:v>
                </c:pt>
                <c:pt idx="115">
                  <c:v>0.52659999999999996</c:v>
                </c:pt>
                <c:pt idx="116">
                  <c:v>0.52680000000000005</c:v>
                </c:pt>
                <c:pt idx="117">
                  <c:v>0.53</c:v>
                </c:pt>
                <c:pt idx="118">
                  <c:v>0.53320000000000001</c:v>
                </c:pt>
                <c:pt idx="119">
                  <c:v>0.53339999999999999</c:v>
                </c:pt>
                <c:pt idx="120">
                  <c:v>0.53659999999999997</c:v>
                </c:pt>
                <c:pt idx="121">
                  <c:v>0.54</c:v>
                </c:pt>
                <c:pt idx="122">
                  <c:v>0.54320000000000002</c:v>
                </c:pt>
                <c:pt idx="123">
                  <c:v>0.54339999999999999</c:v>
                </c:pt>
                <c:pt idx="124">
                  <c:v>0.54659999999999997</c:v>
                </c:pt>
                <c:pt idx="125">
                  <c:v>0.54679999999999995</c:v>
                </c:pt>
                <c:pt idx="126">
                  <c:v>0.55000000000000004</c:v>
                </c:pt>
                <c:pt idx="127">
                  <c:v>0.55320000000000003</c:v>
                </c:pt>
                <c:pt idx="128">
                  <c:v>0.56000000000000005</c:v>
                </c:pt>
                <c:pt idx="129">
                  <c:v>0.56020000000000003</c:v>
                </c:pt>
                <c:pt idx="130">
                  <c:v>0.56340000000000001</c:v>
                </c:pt>
                <c:pt idx="131">
                  <c:v>0.56659999999999999</c:v>
                </c:pt>
                <c:pt idx="132">
                  <c:v>0.56679999999999997</c:v>
                </c:pt>
                <c:pt idx="133">
                  <c:v>0.56999999999999995</c:v>
                </c:pt>
                <c:pt idx="134">
                  <c:v>0.57320000000000004</c:v>
                </c:pt>
                <c:pt idx="135">
                  <c:v>0.57340000000000002</c:v>
                </c:pt>
                <c:pt idx="136">
                  <c:v>0.5766</c:v>
                </c:pt>
                <c:pt idx="137">
                  <c:v>0.57679999999999998</c:v>
                </c:pt>
                <c:pt idx="138">
                  <c:v>0.57999999999999996</c:v>
                </c:pt>
                <c:pt idx="139">
                  <c:v>0.58020000000000005</c:v>
                </c:pt>
                <c:pt idx="140">
                  <c:v>0.58320000000000005</c:v>
                </c:pt>
                <c:pt idx="141">
                  <c:v>0.58340000000000003</c:v>
                </c:pt>
                <c:pt idx="142">
                  <c:v>0.58660000000000001</c:v>
                </c:pt>
                <c:pt idx="143">
                  <c:v>0.58679999999999999</c:v>
                </c:pt>
                <c:pt idx="144">
                  <c:v>0.59319999999999995</c:v>
                </c:pt>
                <c:pt idx="145">
                  <c:v>0.59340000000000004</c:v>
                </c:pt>
                <c:pt idx="146">
                  <c:v>0.59660000000000002</c:v>
                </c:pt>
                <c:pt idx="147">
                  <c:v>0.5968</c:v>
                </c:pt>
                <c:pt idx="148">
                  <c:v>0.5998</c:v>
                </c:pt>
                <c:pt idx="149">
                  <c:v>0.6</c:v>
                </c:pt>
                <c:pt idx="150">
                  <c:v>0.60019999999999996</c:v>
                </c:pt>
                <c:pt idx="151">
                  <c:v>0.60319999999999996</c:v>
                </c:pt>
                <c:pt idx="152">
                  <c:v>0.60340000000000005</c:v>
                </c:pt>
                <c:pt idx="153">
                  <c:v>0.60680000000000001</c:v>
                </c:pt>
                <c:pt idx="154">
                  <c:v>0.61</c:v>
                </c:pt>
                <c:pt idx="155">
                  <c:v>0.61019999999999996</c:v>
                </c:pt>
                <c:pt idx="156">
                  <c:v>0.61319999999999997</c:v>
                </c:pt>
                <c:pt idx="157">
                  <c:v>0.61339999999999995</c:v>
                </c:pt>
                <c:pt idx="158">
                  <c:v>0.61660000000000004</c:v>
                </c:pt>
                <c:pt idx="159">
                  <c:v>0.61680000000000001</c:v>
                </c:pt>
                <c:pt idx="160">
                  <c:v>0.62</c:v>
                </c:pt>
                <c:pt idx="161">
                  <c:v>0.62019999999999997</c:v>
                </c:pt>
                <c:pt idx="162">
                  <c:v>0.62339999999999995</c:v>
                </c:pt>
                <c:pt idx="163">
                  <c:v>0.62660000000000005</c:v>
                </c:pt>
                <c:pt idx="164">
                  <c:v>0.62680000000000002</c:v>
                </c:pt>
                <c:pt idx="165">
                  <c:v>0.63</c:v>
                </c:pt>
                <c:pt idx="166">
                  <c:v>0.63319999999999999</c:v>
                </c:pt>
                <c:pt idx="167">
                  <c:v>0.63339999999999996</c:v>
                </c:pt>
                <c:pt idx="168">
                  <c:v>0.63680000000000003</c:v>
                </c:pt>
                <c:pt idx="169">
                  <c:v>0.64</c:v>
                </c:pt>
                <c:pt idx="170">
                  <c:v>0.64319999999999999</c:v>
                </c:pt>
                <c:pt idx="171">
                  <c:v>0.64339999999999997</c:v>
                </c:pt>
                <c:pt idx="172">
                  <c:v>0.64659999999999995</c:v>
                </c:pt>
                <c:pt idx="173">
                  <c:v>0.65</c:v>
                </c:pt>
                <c:pt idx="174">
                  <c:v>0.6502</c:v>
                </c:pt>
                <c:pt idx="175">
                  <c:v>0.6532</c:v>
                </c:pt>
                <c:pt idx="176">
                  <c:v>0.65339999999999998</c:v>
                </c:pt>
                <c:pt idx="177">
                  <c:v>0.66</c:v>
                </c:pt>
                <c:pt idx="178">
                  <c:v>0.66020000000000001</c:v>
                </c:pt>
                <c:pt idx="179">
                  <c:v>0.66339999999999999</c:v>
                </c:pt>
                <c:pt idx="180">
                  <c:v>0.66659999999999997</c:v>
                </c:pt>
                <c:pt idx="181">
                  <c:v>0.66679999999999995</c:v>
                </c:pt>
                <c:pt idx="182">
                  <c:v>0.67</c:v>
                </c:pt>
                <c:pt idx="183">
                  <c:v>0.67659999999999998</c:v>
                </c:pt>
                <c:pt idx="184">
                  <c:v>0.67679999999999996</c:v>
                </c:pt>
                <c:pt idx="185">
                  <c:v>0.68</c:v>
                </c:pt>
                <c:pt idx="186">
                  <c:v>0.68020000000000003</c:v>
                </c:pt>
                <c:pt idx="187">
                  <c:v>0.68320000000000003</c:v>
                </c:pt>
                <c:pt idx="188">
                  <c:v>0.68340000000000001</c:v>
                </c:pt>
                <c:pt idx="189">
                  <c:v>0.68679999999999997</c:v>
                </c:pt>
                <c:pt idx="190">
                  <c:v>0.69320000000000004</c:v>
                </c:pt>
                <c:pt idx="191">
                  <c:v>0.69340000000000002</c:v>
                </c:pt>
                <c:pt idx="192">
                  <c:v>0.6966</c:v>
                </c:pt>
                <c:pt idx="193">
                  <c:v>0.69679999999999997</c:v>
                </c:pt>
                <c:pt idx="194">
                  <c:v>0.7</c:v>
                </c:pt>
                <c:pt idx="195">
                  <c:v>0.70020000000000004</c:v>
                </c:pt>
                <c:pt idx="196">
                  <c:v>0.70679999999999998</c:v>
                </c:pt>
                <c:pt idx="197">
                  <c:v>0.71</c:v>
                </c:pt>
                <c:pt idx="198">
                  <c:v>0.71020000000000005</c:v>
                </c:pt>
                <c:pt idx="199">
                  <c:v>0.71340000000000003</c:v>
                </c:pt>
                <c:pt idx="200">
                  <c:v>0.71660000000000001</c:v>
                </c:pt>
                <c:pt idx="201">
                  <c:v>0.71679999999999999</c:v>
                </c:pt>
                <c:pt idx="202">
                  <c:v>0.72</c:v>
                </c:pt>
                <c:pt idx="203">
                  <c:v>0.72660000000000002</c:v>
                </c:pt>
                <c:pt idx="204">
                  <c:v>0.7268</c:v>
                </c:pt>
                <c:pt idx="205">
                  <c:v>0.73</c:v>
                </c:pt>
                <c:pt idx="206">
                  <c:v>0.73319999999999996</c:v>
                </c:pt>
                <c:pt idx="207">
                  <c:v>0.73340000000000005</c:v>
                </c:pt>
                <c:pt idx="208">
                  <c:v>0.73660000000000003</c:v>
                </c:pt>
                <c:pt idx="209">
                  <c:v>0.73680000000000001</c:v>
                </c:pt>
                <c:pt idx="210">
                  <c:v>0.74339999999999995</c:v>
                </c:pt>
                <c:pt idx="211">
                  <c:v>0.74660000000000004</c:v>
                </c:pt>
                <c:pt idx="212">
                  <c:v>0.74680000000000002</c:v>
                </c:pt>
                <c:pt idx="213">
                  <c:v>0.75</c:v>
                </c:pt>
                <c:pt idx="214">
                  <c:v>0.75019999999999998</c:v>
                </c:pt>
                <c:pt idx="215">
                  <c:v>0.76</c:v>
                </c:pt>
                <c:pt idx="216">
                  <c:v>0.76019999999999999</c:v>
                </c:pt>
                <c:pt idx="217">
                  <c:v>0.76339999999999997</c:v>
                </c:pt>
                <c:pt idx="218">
                  <c:v>0.76659999999999995</c:v>
                </c:pt>
                <c:pt idx="219">
                  <c:v>0.76680000000000004</c:v>
                </c:pt>
                <c:pt idx="220">
                  <c:v>0.77339999999999998</c:v>
                </c:pt>
                <c:pt idx="221">
                  <c:v>0.77659999999999996</c:v>
                </c:pt>
                <c:pt idx="222">
                  <c:v>0.77680000000000005</c:v>
                </c:pt>
                <c:pt idx="223">
                  <c:v>0.78</c:v>
                </c:pt>
                <c:pt idx="224">
                  <c:v>0.78339999999999999</c:v>
                </c:pt>
                <c:pt idx="225">
                  <c:v>0.78659999999999997</c:v>
                </c:pt>
                <c:pt idx="226">
                  <c:v>0.78680000000000005</c:v>
                </c:pt>
                <c:pt idx="227">
                  <c:v>0.79339999999999999</c:v>
                </c:pt>
                <c:pt idx="228">
                  <c:v>0.8</c:v>
                </c:pt>
                <c:pt idx="229">
                  <c:v>0.80020000000000002</c:v>
                </c:pt>
                <c:pt idx="230">
                  <c:v>0.8034</c:v>
                </c:pt>
                <c:pt idx="231">
                  <c:v>0.81</c:v>
                </c:pt>
                <c:pt idx="232">
                  <c:v>0.81340000000000001</c:v>
                </c:pt>
                <c:pt idx="233">
                  <c:v>0.81659999999999999</c:v>
                </c:pt>
                <c:pt idx="234">
                  <c:v>0.81679999999999997</c:v>
                </c:pt>
                <c:pt idx="235">
                  <c:v>0.8266</c:v>
                </c:pt>
                <c:pt idx="236">
                  <c:v>0.82679999999999998</c:v>
                </c:pt>
                <c:pt idx="237">
                  <c:v>0.83</c:v>
                </c:pt>
                <c:pt idx="238">
                  <c:v>0.83340000000000003</c:v>
                </c:pt>
                <c:pt idx="239">
                  <c:v>0.84340000000000004</c:v>
                </c:pt>
                <c:pt idx="240">
                  <c:v>0.85</c:v>
                </c:pt>
                <c:pt idx="241">
                  <c:v>0.85340000000000005</c:v>
                </c:pt>
                <c:pt idx="242">
                  <c:v>0.86</c:v>
                </c:pt>
                <c:pt idx="243">
                  <c:v>0.86660000000000004</c:v>
                </c:pt>
                <c:pt idx="244">
                  <c:v>0.86680000000000001</c:v>
                </c:pt>
                <c:pt idx="245">
                  <c:v>0.87</c:v>
                </c:pt>
                <c:pt idx="246">
                  <c:v>0.88</c:v>
                </c:pt>
                <c:pt idx="247">
                  <c:v>0.88339999999999996</c:v>
                </c:pt>
                <c:pt idx="248">
                  <c:v>0.89339999999999997</c:v>
                </c:pt>
                <c:pt idx="249">
                  <c:v>0.9</c:v>
                </c:pt>
                <c:pt idx="250">
                  <c:v>0.91</c:v>
                </c:pt>
                <c:pt idx="251">
                  <c:v>0.93340000000000001</c:v>
                </c:pt>
                <c:pt idx="252">
                  <c:v>0.95</c:v>
                </c:pt>
                <c:pt idx="253">
                  <c:v>0.96</c:v>
                </c:pt>
                <c:pt idx="254">
                  <c:v>1</c:v>
                </c:pt>
              </c:numCache>
            </c:numRef>
          </c:xVal>
          <c:yVal>
            <c:numRef>
              <c:f>'Figure 3a'!$I$8:$I$262</c:f>
              <c:numCache>
                <c:formatCode>General</c:formatCode>
                <c:ptCount val="255"/>
                <c:pt idx="0">
                  <c:v>3.5200000000000002E-2</c:v>
                </c:pt>
                <c:pt idx="1">
                  <c:v>3.32E-2</c:v>
                </c:pt>
                <c:pt idx="2">
                  <c:v>3.1899999999999998E-2</c:v>
                </c:pt>
                <c:pt idx="3">
                  <c:v>3.1300000000000001E-2</c:v>
                </c:pt>
                <c:pt idx="4">
                  <c:v>3.0099999999999998E-2</c:v>
                </c:pt>
                <c:pt idx="5">
                  <c:v>2.9600000000000001E-2</c:v>
                </c:pt>
                <c:pt idx="6">
                  <c:v>2.9000000000000001E-2</c:v>
                </c:pt>
                <c:pt idx="7">
                  <c:v>2.9000000000000001E-2</c:v>
                </c:pt>
                <c:pt idx="8">
                  <c:v>2.8400000000000002E-2</c:v>
                </c:pt>
                <c:pt idx="9">
                  <c:v>2.7900000000000001E-2</c:v>
                </c:pt>
                <c:pt idx="10">
                  <c:v>2.7300000000000001E-2</c:v>
                </c:pt>
                <c:pt idx="11">
                  <c:v>2.7300000000000001E-2</c:v>
                </c:pt>
                <c:pt idx="12">
                  <c:v>2.7E-2</c:v>
                </c:pt>
                <c:pt idx="13">
                  <c:v>2.69E-2</c:v>
                </c:pt>
                <c:pt idx="14">
                  <c:v>2.6800000000000001E-2</c:v>
                </c:pt>
                <c:pt idx="15">
                  <c:v>2.63E-2</c:v>
                </c:pt>
                <c:pt idx="16">
                  <c:v>2.6200000000000001E-2</c:v>
                </c:pt>
                <c:pt idx="17">
                  <c:v>2.5700000000000001E-2</c:v>
                </c:pt>
                <c:pt idx="18">
                  <c:v>2.5700000000000001E-2</c:v>
                </c:pt>
                <c:pt idx="19">
                  <c:v>2.5600000000000001E-2</c:v>
                </c:pt>
                <c:pt idx="20">
                  <c:v>2.53E-2</c:v>
                </c:pt>
                <c:pt idx="21">
                  <c:v>2.52E-2</c:v>
                </c:pt>
                <c:pt idx="22">
                  <c:v>2.47E-2</c:v>
                </c:pt>
                <c:pt idx="23">
                  <c:v>2.4400000000000002E-2</c:v>
                </c:pt>
                <c:pt idx="24">
                  <c:v>2.4199999999999999E-2</c:v>
                </c:pt>
                <c:pt idx="25">
                  <c:v>2.4199999999999999E-2</c:v>
                </c:pt>
                <c:pt idx="26">
                  <c:v>2.3900000000000001E-2</c:v>
                </c:pt>
                <c:pt idx="27">
                  <c:v>2.3800000000000002E-2</c:v>
                </c:pt>
                <c:pt idx="28">
                  <c:v>2.3699999999999999E-2</c:v>
                </c:pt>
                <c:pt idx="29">
                  <c:v>2.3400000000000001E-2</c:v>
                </c:pt>
                <c:pt idx="30">
                  <c:v>2.3300000000000001E-2</c:v>
                </c:pt>
                <c:pt idx="31">
                  <c:v>2.3E-2</c:v>
                </c:pt>
                <c:pt idx="32">
                  <c:v>2.2800000000000001E-2</c:v>
                </c:pt>
                <c:pt idx="33">
                  <c:v>2.2800000000000001E-2</c:v>
                </c:pt>
                <c:pt idx="34">
                  <c:v>2.24E-2</c:v>
                </c:pt>
                <c:pt idx="35">
                  <c:v>2.23E-2</c:v>
                </c:pt>
                <c:pt idx="36">
                  <c:v>2.1999999999999999E-2</c:v>
                </c:pt>
                <c:pt idx="37">
                  <c:v>2.1899999999999999E-2</c:v>
                </c:pt>
                <c:pt idx="38">
                  <c:v>2.1899999999999999E-2</c:v>
                </c:pt>
                <c:pt idx="39">
                  <c:v>2.18E-2</c:v>
                </c:pt>
                <c:pt idx="40">
                  <c:v>2.1600000000000001E-2</c:v>
                </c:pt>
                <c:pt idx="41">
                  <c:v>2.1499999999999998E-2</c:v>
                </c:pt>
                <c:pt idx="42">
                  <c:v>2.1499999999999998E-2</c:v>
                </c:pt>
                <c:pt idx="43">
                  <c:v>2.1100000000000001E-2</c:v>
                </c:pt>
                <c:pt idx="44">
                  <c:v>2.1000000000000001E-2</c:v>
                </c:pt>
                <c:pt idx="45">
                  <c:v>2.1000000000000001E-2</c:v>
                </c:pt>
                <c:pt idx="46">
                  <c:v>2.0899999999999998E-2</c:v>
                </c:pt>
                <c:pt idx="47">
                  <c:v>2.0799999999999999E-2</c:v>
                </c:pt>
                <c:pt idx="48">
                  <c:v>2.07E-2</c:v>
                </c:pt>
                <c:pt idx="49">
                  <c:v>2.06E-2</c:v>
                </c:pt>
                <c:pt idx="50">
                  <c:v>2.06E-2</c:v>
                </c:pt>
                <c:pt idx="51">
                  <c:v>2.0500000000000001E-2</c:v>
                </c:pt>
                <c:pt idx="52">
                  <c:v>2.0400000000000001E-2</c:v>
                </c:pt>
                <c:pt idx="53">
                  <c:v>2.0199999999999999E-2</c:v>
                </c:pt>
                <c:pt idx="54">
                  <c:v>2.0199999999999999E-2</c:v>
                </c:pt>
                <c:pt idx="55">
                  <c:v>2.01E-2</c:v>
                </c:pt>
                <c:pt idx="56">
                  <c:v>0.02</c:v>
                </c:pt>
                <c:pt idx="57">
                  <c:v>1.9900000000000001E-2</c:v>
                </c:pt>
                <c:pt idx="58">
                  <c:v>1.9900000000000001E-2</c:v>
                </c:pt>
                <c:pt idx="59">
                  <c:v>1.9800000000000002E-2</c:v>
                </c:pt>
                <c:pt idx="60">
                  <c:v>1.9800000000000002E-2</c:v>
                </c:pt>
                <c:pt idx="61">
                  <c:v>1.9699999999999999E-2</c:v>
                </c:pt>
                <c:pt idx="62">
                  <c:v>1.9699999999999999E-2</c:v>
                </c:pt>
                <c:pt idx="63">
                  <c:v>1.9599999999999999E-2</c:v>
                </c:pt>
                <c:pt idx="64">
                  <c:v>1.9599999999999999E-2</c:v>
                </c:pt>
                <c:pt idx="65">
                  <c:v>1.95E-2</c:v>
                </c:pt>
                <c:pt idx="66">
                  <c:v>1.95E-2</c:v>
                </c:pt>
                <c:pt idx="67">
                  <c:v>1.9400000000000001E-2</c:v>
                </c:pt>
                <c:pt idx="68">
                  <c:v>1.9400000000000001E-2</c:v>
                </c:pt>
                <c:pt idx="69">
                  <c:v>1.9400000000000001E-2</c:v>
                </c:pt>
                <c:pt idx="70">
                  <c:v>1.9099999999999999E-2</c:v>
                </c:pt>
                <c:pt idx="71">
                  <c:v>1.9E-2</c:v>
                </c:pt>
                <c:pt idx="72">
                  <c:v>1.9E-2</c:v>
                </c:pt>
                <c:pt idx="73">
                  <c:v>1.89E-2</c:v>
                </c:pt>
                <c:pt idx="74">
                  <c:v>1.8700000000000001E-2</c:v>
                </c:pt>
                <c:pt idx="75">
                  <c:v>1.8599999999999998E-2</c:v>
                </c:pt>
                <c:pt idx="76">
                  <c:v>1.8599999999999998E-2</c:v>
                </c:pt>
                <c:pt idx="77">
                  <c:v>1.84E-2</c:v>
                </c:pt>
                <c:pt idx="78">
                  <c:v>1.8200000000000001E-2</c:v>
                </c:pt>
                <c:pt idx="79">
                  <c:v>1.8200000000000001E-2</c:v>
                </c:pt>
                <c:pt idx="80">
                  <c:v>1.8100000000000002E-2</c:v>
                </c:pt>
                <c:pt idx="81">
                  <c:v>1.8100000000000002E-2</c:v>
                </c:pt>
                <c:pt idx="82">
                  <c:v>1.7999999999999999E-2</c:v>
                </c:pt>
                <c:pt idx="83">
                  <c:v>1.7999999999999999E-2</c:v>
                </c:pt>
                <c:pt idx="84">
                  <c:v>1.7899999999999999E-2</c:v>
                </c:pt>
                <c:pt idx="85">
                  <c:v>1.7899999999999999E-2</c:v>
                </c:pt>
                <c:pt idx="86">
                  <c:v>1.78E-2</c:v>
                </c:pt>
                <c:pt idx="87">
                  <c:v>1.78E-2</c:v>
                </c:pt>
                <c:pt idx="88">
                  <c:v>1.7600000000000001E-2</c:v>
                </c:pt>
                <c:pt idx="89">
                  <c:v>1.7600000000000001E-2</c:v>
                </c:pt>
                <c:pt idx="90">
                  <c:v>1.7500000000000002E-2</c:v>
                </c:pt>
                <c:pt idx="91">
                  <c:v>1.7399999999999999E-2</c:v>
                </c:pt>
                <c:pt idx="92">
                  <c:v>1.7399999999999999E-2</c:v>
                </c:pt>
                <c:pt idx="93">
                  <c:v>1.7399999999999999E-2</c:v>
                </c:pt>
                <c:pt idx="94">
                  <c:v>1.7399999999999999E-2</c:v>
                </c:pt>
                <c:pt idx="95">
                  <c:v>1.72E-2</c:v>
                </c:pt>
                <c:pt idx="96">
                  <c:v>1.72E-2</c:v>
                </c:pt>
                <c:pt idx="97">
                  <c:v>1.7100000000000001E-2</c:v>
                </c:pt>
                <c:pt idx="98">
                  <c:v>1.7100000000000001E-2</c:v>
                </c:pt>
                <c:pt idx="99">
                  <c:v>1.7000000000000001E-2</c:v>
                </c:pt>
                <c:pt idx="100">
                  <c:v>1.7000000000000001E-2</c:v>
                </c:pt>
                <c:pt idx="101">
                  <c:v>1.6799999999999999E-2</c:v>
                </c:pt>
                <c:pt idx="102">
                  <c:v>1.67E-2</c:v>
                </c:pt>
                <c:pt idx="103">
                  <c:v>1.67E-2</c:v>
                </c:pt>
                <c:pt idx="104">
                  <c:v>1.66E-2</c:v>
                </c:pt>
                <c:pt idx="105">
                  <c:v>1.66E-2</c:v>
                </c:pt>
                <c:pt idx="106">
                  <c:v>1.6500000000000001E-2</c:v>
                </c:pt>
                <c:pt idx="107">
                  <c:v>1.6400000000000001E-2</c:v>
                </c:pt>
                <c:pt idx="108">
                  <c:v>1.6400000000000001E-2</c:v>
                </c:pt>
                <c:pt idx="109">
                  <c:v>1.6299999999999999E-2</c:v>
                </c:pt>
                <c:pt idx="110">
                  <c:v>1.61E-2</c:v>
                </c:pt>
                <c:pt idx="111">
                  <c:v>1.61E-2</c:v>
                </c:pt>
                <c:pt idx="112">
                  <c:v>1.6E-2</c:v>
                </c:pt>
                <c:pt idx="113">
                  <c:v>1.6E-2</c:v>
                </c:pt>
                <c:pt idx="114">
                  <c:v>1.5900000000000001E-2</c:v>
                </c:pt>
                <c:pt idx="115">
                  <c:v>1.5900000000000001E-2</c:v>
                </c:pt>
                <c:pt idx="116">
                  <c:v>1.5900000000000001E-2</c:v>
                </c:pt>
                <c:pt idx="117">
                  <c:v>1.5800000000000002E-2</c:v>
                </c:pt>
                <c:pt idx="118">
                  <c:v>1.5699999999999999E-2</c:v>
                </c:pt>
                <c:pt idx="119">
                  <c:v>1.5699999999999999E-2</c:v>
                </c:pt>
                <c:pt idx="120">
                  <c:v>1.5599999999999999E-2</c:v>
                </c:pt>
                <c:pt idx="121">
                  <c:v>1.55E-2</c:v>
                </c:pt>
                <c:pt idx="122">
                  <c:v>1.55E-2</c:v>
                </c:pt>
                <c:pt idx="123">
                  <c:v>1.54E-2</c:v>
                </c:pt>
                <c:pt idx="124">
                  <c:v>1.54E-2</c:v>
                </c:pt>
                <c:pt idx="125">
                  <c:v>1.54E-2</c:v>
                </c:pt>
                <c:pt idx="126">
                  <c:v>1.5299999999999999E-2</c:v>
                </c:pt>
                <c:pt idx="127">
                  <c:v>1.52E-2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1.4999999999999999E-2</c:v>
                </c:pt>
                <c:pt idx="131">
                  <c:v>1.49E-2</c:v>
                </c:pt>
                <c:pt idx="132">
                  <c:v>1.49E-2</c:v>
                </c:pt>
                <c:pt idx="133">
                  <c:v>1.4800000000000001E-2</c:v>
                </c:pt>
                <c:pt idx="134">
                  <c:v>1.47E-2</c:v>
                </c:pt>
                <c:pt idx="135">
                  <c:v>1.47E-2</c:v>
                </c:pt>
                <c:pt idx="136">
                  <c:v>1.46E-2</c:v>
                </c:pt>
                <c:pt idx="137">
                  <c:v>1.46E-2</c:v>
                </c:pt>
                <c:pt idx="138">
                  <c:v>1.46E-2</c:v>
                </c:pt>
                <c:pt idx="139">
                  <c:v>1.46E-2</c:v>
                </c:pt>
                <c:pt idx="140">
                  <c:v>1.4500000000000001E-2</c:v>
                </c:pt>
                <c:pt idx="141">
                  <c:v>1.4500000000000001E-2</c:v>
                </c:pt>
                <c:pt idx="142">
                  <c:v>1.44E-2</c:v>
                </c:pt>
                <c:pt idx="143">
                  <c:v>1.44E-2</c:v>
                </c:pt>
                <c:pt idx="144">
                  <c:v>1.43E-2</c:v>
                </c:pt>
                <c:pt idx="145">
                  <c:v>1.43E-2</c:v>
                </c:pt>
                <c:pt idx="146">
                  <c:v>1.4200000000000001E-2</c:v>
                </c:pt>
                <c:pt idx="147">
                  <c:v>1.4200000000000001E-2</c:v>
                </c:pt>
                <c:pt idx="148">
                  <c:v>1.41E-2</c:v>
                </c:pt>
                <c:pt idx="149">
                  <c:v>1.41E-2</c:v>
                </c:pt>
                <c:pt idx="150">
                  <c:v>1.41E-2</c:v>
                </c:pt>
                <c:pt idx="151">
                  <c:v>1.4E-2</c:v>
                </c:pt>
                <c:pt idx="152">
                  <c:v>1.4E-2</c:v>
                </c:pt>
                <c:pt idx="153">
                  <c:v>1.3899999999999999E-2</c:v>
                </c:pt>
                <c:pt idx="154">
                  <c:v>1.3899999999999999E-2</c:v>
                </c:pt>
                <c:pt idx="155">
                  <c:v>1.3899999999999999E-2</c:v>
                </c:pt>
                <c:pt idx="156">
                  <c:v>1.38E-2</c:v>
                </c:pt>
                <c:pt idx="157">
                  <c:v>1.38E-2</c:v>
                </c:pt>
                <c:pt idx="158">
                  <c:v>1.37E-2</c:v>
                </c:pt>
                <c:pt idx="159">
                  <c:v>1.37E-2</c:v>
                </c:pt>
                <c:pt idx="160">
                  <c:v>1.37E-2</c:v>
                </c:pt>
                <c:pt idx="161">
                  <c:v>1.3599999999999999E-2</c:v>
                </c:pt>
                <c:pt idx="162">
                  <c:v>1.3599999999999999E-2</c:v>
                </c:pt>
                <c:pt idx="163">
                  <c:v>1.35E-2</c:v>
                </c:pt>
                <c:pt idx="164">
                  <c:v>1.35E-2</c:v>
                </c:pt>
                <c:pt idx="165">
                  <c:v>1.34E-2</c:v>
                </c:pt>
                <c:pt idx="166">
                  <c:v>1.34E-2</c:v>
                </c:pt>
                <c:pt idx="167">
                  <c:v>1.34E-2</c:v>
                </c:pt>
                <c:pt idx="168">
                  <c:v>1.3299999999999999E-2</c:v>
                </c:pt>
                <c:pt idx="169">
                  <c:v>1.32E-2</c:v>
                </c:pt>
                <c:pt idx="170">
                  <c:v>1.3100000000000001E-2</c:v>
                </c:pt>
                <c:pt idx="171">
                  <c:v>1.3100000000000001E-2</c:v>
                </c:pt>
                <c:pt idx="172">
                  <c:v>1.3100000000000001E-2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1.29E-2</c:v>
                </c:pt>
                <c:pt idx="176">
                  <c:v>1.29E-2</c:v>
                </c:pt>
                <c:pt idx="177">
                  <c:v>1.2800000000000001E-2</c:v>
                </c:pt>
                <c:pt idx="178">
                  <c:v>1.2800000000000001E-2</c:v>
                </c:pt>
                <c:pt idx="179">
                  <c:v>1.2699999999999999E-2</c:v>
                </c:pt>
                <c:pt idx="180">
                  <c:v>1.2699999999999999E-2</c:v>
                </c:pt>
                <c:pt idx="181">
                  <c:v>1.2699999999999999E-2</c:v>
                </c:pt>
                <c:pt idx="182">
                  <c:v>1.26E-2</c:v>
                </c:pt>
                <c:pt idx="183">
                  <c:v>1.24E-2</c:v>
                </c:pt>
                <c:pt idx="184">
                  <c:v>1.24E-2</c:v>
                </c:pt>
                <c:pt idx="185">
                  <c:v>1.24E-2</c:v>
                </c:pt>
                <c:pt idx="186">
                  <c:v>1.24E-2</c:v>
                </c:pt>
                <c:pt idx="187">
                  <c:v>1.23E-2</c:v>
                </c:pt>
                <c:pt idx="188">
                  <c:v>1.23E-2</c:v>
                </c:pt>
                <c:pt idx="189">
                  <c:v>1.2200000000000001E-2</c:v>
                </c:pt>
                <c:pt idx="190">
                  <c:v>1.21E-2</c:v>
                </c:pt>
                <c:pt idx="191">
                  <c:v>1.21E-2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1.18E-2</c:v>
                </c:pt>
                <c:pt idx="197">
                  <c:v>1.18E-2</c:v>
                </c:pt>
                <c:pt idx="198">
                  <c:v>1.18E-2</c:v>
                </c:pt>
                <c:pt idx="199">
                  <c:v>1.17E-2</c:v>
                </c:pt>
                <c:pt idx="200">
                  <c:v>1.17E-2</c:v>
                </c:pt>
                <c:pt idx="201">
                  <c:v>1.17E-2</c:v>
                </c:pt>
                <c:pt idx="202">
                  <c:v>1.1599999999999999E-2</c:v>
                </c:pt>
                <c:pt idx="203">
                  <c:v>1.15E-2</c:v>
                </c:pt>
                <c:pt idx="204">
                  <c:v>1.15E-2</c:v>
                </c:pt>
                <c:pt idx="205">
                  <c:v>1.14E-2</c:v>
                </c:pt>
                <c:pt idx="206">
                  <c:v>1.1299999999999999E-2</c:v>
                </c:pt>
                <c:pt idx="207">
                  <c:v>1.1299999999999999E-2</c:v>
                </c:pt>
                <c:pt idx="208">
                  <c:v>1.1299999999999999E-2</c:v>
                </c:pt>
                <c:pt idx="209">
                  <c:v>1.1299999999999999E-2</c:v>
                </c:pt>
                <c:pt idx="210">
                  <c:v>1.11E-2</c:v>
                </c:pt>
                <c:pt idx="211">
                  <c:v>1.11E-2</c:v>
                </c:pt>
                <c:pt idx="212">
                  <c:v>1.11E-2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1.0800000000000001E-2</c:v>
                </c:pt>
                <c:pt idx="216">
                  <c:v>1.0800000000000001E-2</c:v>
                </c:pt>
                <c:pt idx="217">
                  <c:v>1.0800000000000001E-2</c:v>
                </c:pt>
                <c:pt idx="218">
                  <c:v>1.0699999999999999E-2</c:v>
                </c:pt>
                <c:pt idx="219">
                  <c:v>1.0699999999999999E-2</c:v>
                </c:pt>
                <c:pt idx="220">
                  <c:v>1.06E-2</c:v>
                </c:pt>
                <c:pt idx="221">
                  <c:v>1.0500000000000001E-2</c:v>
                </c:pt>
                <c:pt idx="222">
                  <c:v>1.0500000000000001E-2</c:v>
                </c:pt>
                <c:pt idx="223">
                  <c:v>1.0500000000000001E-2</c:v>
                </c:pt>
                <c:pt idx="224">
                  <c:v>1.04E-2</c:v>
                </c:pt>
                <c:pt idx="225">
                  <c:v>1.04E-2</c:v>
                </c:pt>
                <c:pt idx="226">
                  <c:v>1.04E-2</c:v>
                </c:pt>
                <c:pt idx="227">
                  <c:v>1.03E-2</c:v>
                </c:pt>
                <c:pt idx="228">
                  <c:v>1.01E-2</c:v>
                </c:pt>
                <c:pt idx="229">
                  <c:v>1.01E-2</c:v>
                </c:pt>
                <c:pt idx="230">
                  <c:v>1.01E-2</c:v>
                </c:pt>
                <c:pt idx="231">
                  <c:v>0.01</c:v>
                </c:pt>
                <c:pt idx="232">
                  <c:v>9.9000000000000008E-3</c:v>
                </c:pt>
                <c:pt idx="233">
                  <c:v>9.9000000000000008E-3</c:v>
                </c:pt>
                <c:pt idx="234">
                  <c:v>9.9000000000000008E-3</c:v>
                </c:pt>
                <c:pt idx="235">
                  <c:v>9.7000000000000003E-3</c:v>
                </c:pt>
                <c:pt idx="236">
                  <c:v>9.7000000000000003E-3</c:v>
                </c:pt>
                <c:pt idx="237">
                  <c:v>9.5999999999999992E-3</c:v>
                </c:pt>
                <c:pt idx="238">
                  <c:v>9.5999999999999992E-3</c:v>
                </c:pt>
                <c:pt idx="239">
                  <c:v>9.4000000000000004E-3</c:v>
                </c:pt>
                <c:pt idx="240">
                  <c:v>9.2999999999999992E-3</c:v>
                </c:pt>
                <c:pt idx="241">
                  <c:v>9.2999999999999992E-3</c:v>
                </c:pt>
                <c:pt idx="242">
                  <c:v>9.1999999999999998E-3</c:v>
                </c:pt>
                <c:pt idx="243">
                  <c:v>9.1000000000000004E-3</c:v>
                </c:pt>
                <c:pt idx="244">
                  <c:v>9.1000000000000004E-3</c:v>
                </c:pt>
                <c:pt idx="245">
                  <c:v>8.9999999999999993E-3</c:v>
                </c:pt>
                <c:pt idx="246">
                  <c:v>8.8999999999999999E-3</c:v>
                </c:pt>
                <c:pt idx="247">
                  <c:v>8.8000000000000005E-3</c:v>
                </c:pt>
                <c:pt idx="248">
                  <c:v>8.6999999999999994E-3</c:v>
                </c:pt>
                <c:pt idx="249">
                  <c:v>8.6E-3</c:v>
                </c:pt>
                <c:pt idx="250">
                  <c:v>8.3999999999999995E-3</c:v>
                </c:pt>
                <c:pt idx="251">
                  <c:v>8.0999999999999996E-3</c:v>
                </c:pt>
                <c:pt idx="252">
                  <c:v>7.9000000000000008E-3</c:v>
                </c:pt>
                <c:pt idx="253">
                  <c:v>7.7000000000000002E-3</c:v>
                </c:pt>
                <c:pt idx="254">
                  <c:v>7.1999999999999998E-3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CD4-459D-9AEA-1ADA39F6F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703359"/>
        <c:axId val="1220536159"/>
      </c:scatterChart>
      <c:valAx>
        <c:axId val="746703359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Management practices index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20536159"/>
        <c:crosses val="autoZero"/>
        <c:crossBetween val="midCat"/>
      </c:valAx>
      <c:valAx>
        <c:axId val="122053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467033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0211759473583131"/>
          <c:w val="0.99405125793557492"/>
          <c:h val="7.22084643142328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409574</xdr:colOff>
      <xdr:row>21</xdr:row>
      <xdr:rowOff>66675</xdr:rowOff>
    </xdr:from>
    <xdr:to>
      <xdr:col>13</xdr:col>
      <xdr:colOff>704849</xdr:colOff>
      <xdr:row>37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548641</xdr:colOff>
      <xdr:row>31</xdr:row>
      <xdr:rowOff>121921</xdr:rowOff>
    </xdr:from>
    <xdr:to>
      <xdr:col>21</xdr:col>
      <xdr:colOff>352426</xdr:colOff>
      <xdr:row>52</xdr:row>
      <xdr:rowOff>57151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571500</xdr:colOff>
      <xdr:row>7</xdr:row>
      <xdr:rowOff>63500</xdr:rowOff>
    </xdr:from>
    <xdr:to>
      <xdr:col>20</xdr:col>
      <xdr:colOff>588066</xdr:colOff>
      <xdr:row>21</xdr:row>
      <xdr:rowOff>29210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pane ySplit="1" topLeftCell="A2" activePane="bottomLeft" state="frozen"/>
      <selection pane="bottomLeft"/>
    </sheetView>
  </sheetViews>
  <sheetFormatPr defaultRowHeight="14.5" x14ac:dyDescent="0.35"/>
  <cols>
    <col min="1" max="1" width="33.90625" style="19" bestFit="1" customWidth="1"/>
    <col min="5" max="5" width="12" bestFit="1" customWidth="1"/>
    <col min="6" max="6" width="13.26953125" bestFit="1" customWidth="1"/>
    <col min="7" max="7" width="7.90625" customWidth="1"/>
  </cols>
  <sheetData>
    <row r="1" spans="1:8" s="6" customFormat="1" x14ac:dyDescent="0.35">
      <c r="A1" s="18" t="s">
        <v>177</v>
      </c>
      <c r="B1" s="16" t="s">
        <v>173</v>
      </c>
      <c r="C1" s="16" t="s">
        <v>174</v>
      </c>
      <c r="D1" s="16" t="s">
        <v>175</v>
      </c>
      <c r="E1" s="6" t="s">
        <v>106</v>
      </c>
      <c r="F1" s="6" t="s">
        <v>9</v>
      </c>
      <c r="H1" s="6" t="s">
        <v>218</v>
      </c>
    </row>
    <row r="2" spans="1:8" x14ac:dyDescent="0.35">
      <c r="A2" s="19" t="s">
        <v>176</v>
      </c>
      <c r="B2" s="17" t="s">
        <v>94</v>
      </c>
      <c r="C2" s="17" t="s">
        <v>117</v>
      </c>
      <c r="D2" s="17">
        <v>156</v>
      </c>
      <c r="E2">
        <f ca="1">INDIRECT(CONCATENATE("'",C2,"'!N")&amp;(D2))</f>
        <v>37.651499999999999</v>
      </c>
      <c r="F2">
        <f ca="1">INDIRECT(CONCATENATE("'",C2,"'!O")&amp;(D2))</f>
        <v>1E-3</v>
      </c>
    </row>
    <row r="3" spans="1:8" x14ac:dyDescent="0.35">
      <c r="A3" s="19" t="s">
        <v>196</v>
      </c>
      <c r="B3" s="17" t="s">
        <v>150</v>
      </c>
      <c r="C3" s="17" t="s">
        <v>96</v>
      </c>
      <c r="D3" s="17">
        <v>155</v>
      </c>
      <c r="E3">
        <f t="shared" ref="E3:E8" ca="1" si="0">INDIRECT(CONCATENATE("'",C3,"'!N")&amp;(D3))</f>
        <v>2812367.7593</v>
      </c>
      <c r="F3" t="str">
        <f t="shared" ref="F3:F8" ca="1" si="1">INDIRECT(CONCATENATE("'",C3,"'!O")&amp;(D3))</f>
        <v>5.8e-610670</v>
      </c>
    </row>
    <row r="4" spans="1:8" x14ac:dyDescent="0.35">
      <c r="A4" s="19" t="s">
        <v>197</v>
      </c>
      <c r="B4" s="17" t="s">
        <v>150</v>
      </c>
      <c r="C4" s="17" t="s">
        <v>97</v>
      </c>
      <c r="D4" s="17">
        <v>153</v>
      </c>
      <c r="E4">
        <f t="shared" ca="1" si="0"/>
        <v>6.3193999999999999</v>
      </c>
      <c r="F4">
        <f t="shared" ca="1" si="1"/>
        <v>0.39</v>
      </c>
    </row>
    <row r="5" spans="1:8" x14ac:dyDescent="0.35">
      <c r="A5" s="19" t="s">
        <v>198</v>
      </c>
      <c r="B5" s="17" t="s">
        <v>150</v>
      </c>
      <c r="C5" s="17" t="s">
        <v>98</v>
      </c>
      <c r="D5" s="17">
        <v>153</v>
      </c>
      <c r="E5">
        <f t="shared" ca="1" si="0"/>
        <v>5531.4058000000005</v>
      </c>
      <c r="F5" t="str">
        <f t="shared" ca="1" si="1"/>
        <v>2.8e-1195</v>
      </c>
    </row>
    <row r="6" spans="1:8" x14ac:dyDescent="0.35">
      <c r="A6" s="19" t="s">
        <v>199</v>
      </c>
      <c r="B6" s="17" t="s">
        <v>150</v>
      </c>
      <c r="C6" s="17" t="s">
        <v>99</v>
      </c>
      <c r="D6" s="17">
        <v>152</v>
      </c>
      <c r="E6">
        <f t="shared" ca="1" si="0"/>
        <v>4109.5450000000001</v>
      </c>
      <c r="F6" t="str">
        <f t="shared" ca="1" si="1"/>
        <v>2.2e-891</v>
      </c>
    </row>
    <row r="7" spans="1:8" x14ac:dyDescent="0.35">
      <c r="A7" s="19" t="s">
        <v>200</v>
      </c>
      <c r="B7" s="17" t="s">
        <v>150</v>
      </c>
      <c r="C7" s="17" t="s">
        <v>100</v>
      </c>
      <c r="D7" s="17">
        <v>155</v>
      </c>
      <c r="E7">
        <f t="shared" ca="1" si="0"/>
        <v>52372.905700000003</v>
      </c>
      <c r="F7" t="str">
        <f t="shared" ca="1" si="1"/>
        <v>2.4e-11353</v>
      </c>
    </row>
    <row r="8" spans="1:8" x14ac:dyDescent="0.35">
      <c r="A8" s="19" t="s">
        <v>201</v>
      </c>
      <c r="B8" s="17" t="s">
        <v>150</v>
      </c>
      <c r="C8" s="17" t="s">
        <v>101</v>
      </c>
      <c r="D8" s="17">
        <v>152</v>
      </c>
      <c r="E8">
        <f t="shared" ca="1" si="0"/>
        <v>9.9837000000000007</v>
      </c>
      <c r="F8">
        <f t="shared" ca="1" si="1"/>
        <v>1.9E-2</v>
      </c>
    </row>
    <row r="9" spans="1:8" x14ac:dyDescent="0.35">
      <c r="A9" s="19" t="s">
        <v>219</v>
      </c>
      <c r="B9" s="17" t="s">
        <v>129</v>
      </c>
      <c r="C9" s="17" t="s">
        <v>129</v>
      </c>
      <c r="D9" s="17">
        <v>154</v>
      </c>
      <c r="E9">
        <f ca="1">INDIRECT(CONCATENATE("'",C9,"'!N")&amp;(D9))</f>
        <v>15.346299999999999</v>
      </c>
      <c r="F9">
        <f ca="1">INDIRECT(CONCATENATE("'",C9,"'!O")&amp;(D9))</f>
        <v>8.2000000000000003E-2</v>
      </c>
    </row>
    <row r="10" spans="1:8" x14ac:dyDescent="0.35">
      <c r="A10" s="19" t="s">
        <v>220</v>
      </c>
      <c r="B10" s="17" t="s">
        <v>204</v>
      </c>
      <c r="C10" s="17" t="s">
        <v>204</v>
      </c>
      <c r="D10" s="17">
        <v>160</v>
      </c>
      <c r="E10">
        <f t="shared" ref="E10" ca="1" si="2">INDIRECT(CONCATENATE("'",C10,"'!N")&amp;(D10))</f>
        <v>308450405853.59998</v>
      </c>
      <c r="F10">
        <f t="shared" ref="F10" ca="1" si="3">INDIRECT(CONCATENATE("'",C10,"'!O")&amp;(D10))</f>
        <v>0</v>
      </c>
    </row>
    <row r="11" spans="1:8" x14ac:dyDescent="0.35">
      <c r="A11" s="19" t="s">
        <v>212</v>
      </c>
      <c r="B11" s="17" t="s">
        <v>171</v>
      </c>
      <c r="C11" s="17" t="s">
        <v>171</v>
      </c>
      <c r="D11" s="17">
        <v>170</v>
      </c>
      <c r="E11">
        <f ca="1">INDIRECT(CONCATENATE("'",C11,"'!N")&amp;(D11))</f>
        <v>6.8201999999999998</v>
      </c>
      <c r="F11">
        <f ca="1">INDIRECT(CONCATENATE("'",C11,"'!O")&amp;(D11))</f>
        <v>7.8E-2</v>
      </c>
    </row>
    <row r="12" spans="1:8" x14ac:dyDescent="0.35">
      <c r="A12" s="19" t="s">
        <v>221</v>
      </c>
      <c r="B12" s="17" t="s">
        <v>148</v>
      </c>
      <c r="C12" s="17" t="s">
        <v>148</v>
      </c>
      <c r="D12" s="17">
        <v>202</v>
      </c>
      <c r="E12">
        <f t="shared" ref="E12:E13" ca="1" si="4">INDIRECT(CONCATENATE("'",C12,"'!N")&amp;(D12))</f>
        <v>11.9086</v>
      </c>
      <c r="F12">
        <f t="shared" ref="F12:F13" ca="1" si="5">INDIRECT(CONCATENATE("'",C12,"'!O")&amp;(D12))</f>
        <v>7.7000000000000002E-3</v>
      </c>
    </row>
    <row r="13" spans="1:8" x14ac:dyDescent="0.35">
      <c r="A13" s="19" t="s">
        <v>222</v>
      </c>
      <c r="B13" s="17" t="s">
        <v>146</v>
      </c>
      <c r="C13" s="17" t="s">
        <v>146</v>
      </c>
      <c r="D13" s="17">
        <v>152</v>
      </c>
      <c r="E13">
        <f t="shared" ca="1" si="4"/>
        <v>6.9705000000000004</v>
      </c>
      <c r="F13">
        <f t="shared" ca="1" si="5"/>
        <v>7.2999999999999995E-2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19"/>
  <sheetViews>
    <sheetView topLeftCell="A142" workbookViewId="0">
      <selection activeCell="B155" sqref="B155"/>
    </sheetView>
  </sheetViews>
  <sheetFormatPr defaultRowHeight="14.5" x14ac:dyDescent="0.35"/>
  <cols>
    <col min="1" max="1" width="30.453125" bestFit="1" customWidth="1"/>
    <col min="2" max="2" width="12.1796875" bestFit="1" customWidth="1"/>
    <col min="3" max="3" width="11.54296875" bestFit="1" customWidth="1"/>
    <col min="4" max="4" width="8.54296875" bestFit="1" customWidth="1"/>
    <col min="5" max="5" width="11.54296875" bestFit="1" customWidth="1"/>
    <col min="6" max="6" width="9.54296875" bestFit="1" customWidth="1"/>
    <col min="7" max="7" width="11.54296875" bestFit="1" customWidth="1"/>
    <col min="8" max="8" width="8.26953125" bestFit="1" customWidth="1"/>
    <col min="9" max="9" width="11.54296875" bestFit="1" customWidth="1"/>
    <col min="10" max="10" width="7.54296875" bestFit="1" customWidth="1"/>
    <col min="11" max="11" width="8.26953125" bestFit="1" customWidth="1"/>
    <col min="12" max="12" width="11.54296875" bestFit="1" customWidth="1"/>
    <col min="13" max="13" width="7.26953125" bestFit="1" customWidth="1"/>
    <col min="14" max="14" width="10.54296875" bestFit="1" customWidth="1"/>
    <col min="15" max="15" width="8.453125" bestFit="1" customWidth="1"/>
  </cols>
  <sheetData>
    <row r="1" spans="1:6" ht="17.5" x14ac:dyDescent="0.35">
      <c r="A1" s="1" t="s">
        <v>185</v>
      </c>
    </row>
    <row r="3" spans="1:6" x14ac:dyDescent="0.35">
      <c r="A3" s="20" t="s">
        <v>0</v>
      </c>
      <c r="B3" s="21"/>
      <c r="C3" s="21"/>
      <c r="D3" s="21"/>
      <c r="E3" s="21"/>
      <c r="F3" s="22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3976</v>
      </c>
      <c r="C5" s="2"/>
      <c r="D5" s="2"/>
      <c r="E5" s="2"/>
      <c r="F5" s="2"/>
    </row>
    <row r="6" spans="1:6" x14ac:dyDescent="0.35">
      <c r="A6" s="3" t="s">
        <v>2</v>
      </c>
      <c r="B6" s="2">
        <v>15</v>
      </c>
      <c r="C6" s="2"/>
      <c r="D6" s="2"/>
      <c r="E6" s="2"/>
      <c r="F6" s="2"/>
    </row>
    <row r="7" spans="1:6" x14ac:dyDescent="0.35">
      <c r="A7" s="3" t="s">
        <v>3</v>
      </c>
      <c r="B7" s="2">
        <v>18866904.5044</v>
      </c>
      <c r="C7" s="2"/>
      <c r="D7" s="2"/>
      <c r="E7" s="2"/>
      <c r="F7" s="2"/>
    </row>
    <row r="8" spans="1:6" x14ac:dyDescent="0.35">
      <c r="A8" s="3" t="s">
        <v>4</v>
      </c>
      <c r="B8" s="2">
        <v>18866904.5044</v>
      </c>
      <c r="C8" s="2"/>
      <c r="D8" s="2"/>
      <c r="E8" s="2"/>
      <c r="F8" s="2"/>
    </row>
    <row r="9" spans="1:6" x14ac:dyDescent="0.35">
      <c r="A9" s="3" t="s">
        <v>5</v>
      </c>
      <c r="B9" s="2">
        <v>557993</v>
      </c>
      <c r="C9" s="2"/>
      <c r="D9" s="2"/>
      <c r="E9" s="2"/>
      <c r="F9" s="2"/>
    </row>
    <row r="10" spans="1:6" x14ac:dyDescent="0.35">
      <c r="A10" s="3" t="s">
        <v>6</v>
      </c>
      <c r="B10" s="2">
        <v>557993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0.34839999999999999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0.2271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0.25829999999999997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0.34839999999999999</v>
      </c>
      <c r="C17" s="2"/>
      <c r="D17" s="2"/>
      <c r="E17" s="2"/>
      <c r="F17" s="2"/>
    </row>
    <row r="18" spans="1:6" x14ac:dyDescent="0.35">
      <c r="A18" s="3" t="s">
        <v>15</v>
      </c>
      <c r="B18" s="2">
        <v>0.34839999999999999</v>
      </c>
      <c r="C18" s="2"/>
      <c r="D18" s="2"/>
      <c r="E18" s="2"/>
      <c r="F18" s="2"/>
    </row>
    <row r="19" spans="1:6" x14ac:dyDescent="0.35">
      <c r="A19" s="3" t="s">
        <v>16</v>
      </c>
      <c r="B19" s="2">
        <v>0.34839999999999999</v>
      </c>
      <c r="C19" s="2"/>
      <c r="D19" s="2"/>
      <c r="E19" s="2"/>
      <c r="F19" s="2"/>
    </row>
    <row r="20" spans="1:6" x14ac:dyDescent="0.35">
      <c r="A20" s="3" t="s">
        <v>17</v>
      </c>
      <c r="B20" s="2">
        <v>0.34839999999999999</v>
      </c>
      <c r="C20" s="2"/>
      <c r="D20" s="2"/>
      <c r="E20" s="2"/>
      <c r="F20" s="2"/>
    </row>
    <row r="21" spans="1:6" x14ac:dyDescent="0.35">
      <c r="A21" s="3" t="s">
        <v>18</v>
      </c>
      <c r="B21" s="2">
        <v>0.34839999999999999</v>
      </c>
      <c r="C21" s="2"/>
      <c r="D21" s="2"/>
      <c r="E21" s="2"/>
      <c r="F21" s="2"/>
    </row>
    <row r="22" spans="1:6" x14ac:dyDescent="0.35">
      <c r="A22" s="3" t="s">
        <v>19</v>
      </c>
      <c r="B22" s="2">
        <v>1E-4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-3130.4535000000001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-3130.4535000000001</v>
      </c>
      <c r="C27" s="2"/>
      <c r="D27" s="2"/>
      <c r="E27" s="2"/>
      <c r="F27" s="2"/>
    </row>
    <row r="28" spans="1:6" x14ac:dyDescent="0.35">
      <c r="A28" s="3" t="s">
        <v>24</v>
      </c>
      <c r="B28" s="2">
        <v>6385.2273999999998</v>
      </c>
      <c r="C28" s="2"/>
      <c r="D28" s="2"/>
      <c r="E28" s="2"/>
      <c r="F28" s="2"/>
    </row>
    <row r="29" spans="1:6" x14ac:dyDescent="0.35">
      <c r="A29" s="3" t="s">
        <v>25</v>
      </c>
      <c r="B29" s="2">
        <v>6290.9069</v>
      </c>
      <c r="C29" s="2"/>
      <c r="D29" s="2"/>
      <c r="E29" s="2"/>
      <c r="F29" s="2"/>
    </row>
    <row r="30" spans="1:6" x14ac:dyDescent="0.35">
      <c r="A30" s="3" t="s">
        <v>26</v>
      </c>
      <c r="B30" s="2">
        <v>6305.9069</v>
      </c>
      <c r="C30" s="2"/>
      <c r="D30" s="2"/>
      <c r="E30" s="2"/>
      <c r="F30" s="2"/>
    </row>
    <row r="31" spans="1:6" x14ac:dyDescent="0.35">
      <c r="A31" s="3" t="s">
        <v>27</v>
      </c>
      <c r="B31" s="2">
        <v>6400.2273999999998</v>
      </c>
      <c r="C31" s="2"/>
      <c r="D31" s="2"/>
      <c r="E31" s="2"/>
      <c r="F31" s="2"/>
    </row>
    <row r="32" spans="1:6" x14ac:dyDescent="0.35">
      <c r="A32" s="3" t="s">
        <v>28</v>
      </c>
      <c r="B32" s="2">
        <v>6337.5640999999996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0.27939999999999998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1.67E-2</v>
      </c>
      <c r="C38" s="2"/>
      <c r="D38" s="2"/>
      <c r="E38" s="2"/>
      <c r="F38" s="2"/>
    </row>
    <row r="39" spans="1:6" x14ac:dyDescent="0.35">
      <c r="A39" s="3" t="s">
        <v>33</v>
      </c>
      <c r="B39" s="2">
        <v>8.3999999999999995E-3</v>
      </c>
      <c r="C39" s="2"/>
      <c r="D39" s="2"/>
      <c r="E39" s="2"/>
      <c r="F39" s="2"/>
    </row>
    <row r="40" spans="1:6" x14ac:dyDescent="0.35">
      <c r="A40" s="3" t="s">
        <v>34</v>
      </c>
      <c r="B40" s="2">
        <v>-6240.8696</v>
      </c>
      <c r="C40" s="2"/>
      <c r="D40" s="2"/>
      <c r="E40" s="2"/>
      <c r="F40" s="2"/>
    </row>
    <row r="41" spans="1:6" x14ac:dyDescent="0.35">
      <c r="A41" s="3" t="s">
        <v>35</v>
      </c>
      <c r="B41" s="2">
        <v>3110.4162000000001</v>
      </c>
      <c r="C41" s="2"/>
      <c r="D41" s="2"/>
      <c r="E41" s="2"/>
      <c r="F41" s="2"/>
    </row>
    <row r="42" spans="1:6" x14ac:dyDescent="0.35">
      <c r="A42" s="3" t="s">
        <v>36</v>
      </c>
      <c r="B42" s="2">
        <v>12481.7392</v>
      </c>
      <c r="C42" s="2"/>
      <c r="D42" s="2"/>
      <c r="E42" s="2"/>
      <c r="F42" s="2"/>
    </row>
    <row r="43" spans="1:6" x14ac:dyDescent="0.35">
      <c r="A43" s="3" t="s">
        <v>37</v>
      </c>
      <c r="B43" s="2">
        <v>12775.3802</v>
      </c>
      <c r="C43" s="2"/>
      <c r="D43" s="2"/>
      <c r="E43" s="2"/>
      <c r="F43" s="2"/>
    </row>
    <row r="44" spans="1:6" x14ac:dyDescent="0.35">
      <c r="A44" s="3" t="s">
        <v>38</v>
      </c>
      <c r="B44" s="2">
        <v>12606.0597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2865.0560999999998</v>
      </c>
      <c r="C48" s="2">
        <v>0</v>
      </c>
      <c r="D48" s="2">
        <v>0</v>
      </c>
      <c r="E48" s="2">
        <v>0</v>
      </c>
      <c r="F48" s="2">
        <v>2865.0560999999998</v>
      </c>
    </row>
    <row r="49" spans="1:6" x14ac:dyDescent="0.35">
      <c r="A49" s="3" t="s">
        <v>43</v>
      </c>
      <c r="B49" s="2">
        <v>527.02859999999998</v>
      </c>
      <c r="C49" s="2">
        <v>0</v>
      </c>
      <c r="D49" s="2">
        <v>0</v>
      </c>
      <c r="E49" s="2">
        <v>0</v>
      </c>
      <c r="F49" s="2">
        <v>527.02859999999998</v>
      </c>
    </row>
    <row r="50" spans="1:6" x14ac:dyDescent="0.35">
      <c r="A50" s="3" t="s">
        <v>44</v>
      </c>
      <c r="B50" s="2">
        <v>576.59379999999999</v>
      </c>
      <c r="C50" s="2">
        <v>0</v>
      </c>
      <c r="D50" s="2">
        <v>0</v>
      </c>
      <c r="E50" s="2">
        <v>0</v>
      </c>
      <c r="F50" s="2">
        <v>576.59379999999999</v>
      </c>
    </row>
    <row r="51" spans="1:6" x14ac:dyDescent="0.35">
      <c r="A51" s="3" t="s">
        <v>45</v>
      </c>
      <c r="B51" s="2">
        <v>7.3213999999999997</v>
      </c>
      <c r="C51" s="2">
        <v>0</v>
      </c>
      <c r="D51" s="2">
        <v>0</v>
      </c>
      <c r="E51" s="2">
        <v>0</v>
      </c>
      <c r="F51" s="2">
        <v>7.3213999999999997</v>
      </c>
    </row>
    <row r="52" spans="1:6" x14ac:dyDescent="0.35">
      <c r="A52" s="3" t="s">
        <v>46</v>
      </c>
      <c r="B52" s="2">
        <v>3976</v>
      </c>
      <c r="C52" s="2">
        <v>0</v>
      </c>
      <c r="D52" s="2">
        <v>0</v>
      </c>
      <c r="E52" s="2">
        <v>0</v>
      </c>
      <c r="F52" s="2">
        <v>3976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2070.3969000000002</v>
      </c>
      <c r="C56" s="2">
        <v>375.76569999999998</v>
      </c>
      <c r="D56" s="2">
        <v>414.40960000000001</v>
      </c>
      <c r="E56" s="2">
        <v>4.4839000000000002</v>
      </c>
      <c r="F56" s="2">
        <v>2865.0560999999998</v>
      </c>
    </row>
    <row r="57" spans="1:6" x14ac:dyDescent="0.35">
      <c r="A57" s="3" t="s">
        <v>43</v>
      </c>
      <c r="B57" s="2">
        <v>375.76569999999998</v>
      </c>
      <c r="C57" s="2">
        <v>75.697900000000004</v>
      </c>
      <c r="D57" s="2">
        <v>74.271199999999993</v>
      </c>
      <c r="E57" s="2">
        <v>1.2938000000000001</v>
      </c>
      <c r="F57" s="2">
        <v>527.02859999999998</v>
      </c>
    </row>
    <row r="58" spans="1:6" x14ac:dyDescent="0.35">
      <c r="A58" s="3" t="s">
        <v>44</v>
      </c>
      <c r="B58" s="2">
        <v>414.40960000000001</v>
      </c>
      <c r="C58" s="2">
        <v>74.271199999999993</v>
      </c>
      <c r="D58" s="2">
        <v>86.5565</v>
      </c>
      <c r="E58" s="2">
        <v>1.3565</v>
      </c>
      <c r="F58" s="2">
        <v>576.59379999999999</v>
      </c>
    </row>
    <row r="59" spans="1:6" x14ac:dyDescent="0.35">
      <c r="A59" s="3" t="s">
        <v>45</v>
      </c>
      <c r="B59" s="2">
        <v>4.4839000000000002</v>
      </c>
      <c r="C59" s="2">
        <v>1.2938000000000001</v>
      </c>
      <c r="D59" s="2">
        <v>1.3565</v>
      </c>
      <c r="E59" s="2">
        <v>0.18709999999999999</v>
      </c>
      <c r="F59" s="2">
        <v>7.3213999999999997</v>
      </c>
    </row>
    <row r="60" spans="1:6" x14ac:dyDescent="0.35">
      <c r="A60" s="3" t="s">
        <v>46</v>
      </c>
      <c r="B60" s="2">
        <v>2865.0560999999998</v>
      </c>
      <c r="C60" s="2">
        <v>527.02859999999998</v>
      </c>
      <c r="D60" s="2">
        <v>576.59379999999999</v>
      </c>
      <c r="E60" s="2">
        <v>7.3213999999999997</v>
      </c>
      <c r="F60" s="2">
        <v>3976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0.27939999999999998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1.67E-2</v>
      </c>
      <c r="C65" s="2"/>
      <c r="D65" s="2"/>
      <c r="E65" s="2"/>
      <c r="F65" s="2"/>
    </row>
    <row r="66" spans="1:6" x14ac:dyDescent="0.35">
      <c r="A66" s="3" t="s">
        <v>33</v>
      </c>
      <c r="B66" s="2">
        <v>8.3999999999999995E-3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23" t="s">
        <v>186</v>
      </c>
      <c r="C69" s="24"/>
      <c r="D69" s="24"/>
      <c r="E69" s="24"/>
      <c r="F69" s="25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52</v>
      </c>
      <c r="B71" s="2"/>
      <c r="C71" s="2"/>
      <c r="D71" s="2"/>
      <c r="E71" s="2"/>
      <c r="F71" s="2"/>
    </row>
    <row r="72" spans="1:6" x14ac:dyDescent="0.35">
      <c r="A72" s="3" t="s">
        <v>53</v>
      </c>
      <c r="B72" s="2">
        <v>4</v>
      </c>
      <c r="C72" s="2"/>
      <c r="D72" s="2"/>
      <c r="E72" s="2"/>
      <c r="F72" s="2"/>
    </row>
    <row r="73" spans="1:6" x14ac:dyDescent="0.35">
      <c r="A73" s="3" t="s">
        <v>54</v>
      </c>
      <c r="B73" s="2"/>
      <c r="C73" s="2"/>
      <c r="D73" s="2"/>
      <c r="E73" s="2"/>
      <c r="F73" s="2"/>
    </row>
    <row r="74" spans="1:6" x14ac:dyDescent="0.35">
      <c r="A74" s="3" t="s">
        <v>55</v>
      </c>
      <c r="B74" s="4">
        <v>1E-8</v>
      </c>
      <c r="C74" s="2"/>
      <c r="D74" s="2"/>
      <c r="E74" s="2"/>
      <c r="F74" s="2"/>
    </row>
    <row r="75" spans="1:6" x14ac:dyDescent="0.35">
      <c r="A75" s="3" t="s">
        <v>56</v>
      </c>
      <c r="B75" s="2">
        <v>0.01</v>
      </c>
      <c r="C75" s="2"/>
      <c r="D75" s="2"/>
      <c r="E75" s="2"/>
      <c r="F75" s="2"/>
    </row>
    <row r="76" spans="1:6" x14ac:dyDescent="0.35">
      <c r="A76" s="3" t="s">
        <v>57</v>
      </c>
      <c r="B76" s="2">
        <v>250</v>
      </c>
      <c r="C76" s="2"/>
      <c r="D76" s="2"/>
      <c r="E76" s="2"/>
      <c r="F76" s="2"/>
    </row>
    <row r="77" spans="1:6" x14ac:dyDescent="0.35">
      <c r="A77" s="3" t="s">
        <v>58</v>
      </c>
      <c r="B77" s="2">
        <v>50</v>
      </c>
      <c r="C77" s="2"/>
      <c r="D77" s="2"/>
      <c r="E77" s="2"/>
      <c r="F77" s="2"/>
    </row>
    <row r="78" spans="1:6" x14ac:dyDescent="0.35">
      <c r="A78" s="3" t="s">
        <v>59</v>
      </c>
      <c r="B78" s="2"/>
      <c r="C78" s="2"/>
      <c r="D78" s="2"/>
      <c r="E78" s="2"/>
      <c r="F78" s="2"/>
    </row>
    <row r="79" spans="1:6" x14ac:dyDescent="0.35">
      <c r="A79" s="3" t="s">
        <v>60</v>
      </c>
      <c r="B79" s="2">
        <v>557993</v>
      </c>
      <c r="C79" s="2"/>
      <c r="D79" s="2"/>
      <c r="E79" s="2"/>
      <c r="F79" s="2"/>
    </row>
    <row r="80" spans="1:6" x14ac:dyDescent="0.35">
      <c r="A80" s="3" t="s">
        <v>61</v>
      </c>
      <c r="B80" s="2">
        <v>0</v>
      </c>
      <c r="C80" s="2"/>
      <c r="D80" s="2"/>
      <c r="E80" s="2"/>
      <c r="F80" s="2"/>
    </row>
    <row r="81" spans="1:6" x14ac:dyDescent="0.3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62</v>
      </c>
      <c r="B82" s="2">
        <v>150</v>
      </c>
      <c r="C82" s="2"/>
      <c r="D82" s="2"/>
      <c r="E82" s="2"/>
      <c r="F82" s="2"/>
    </row>
    <row r="83" spans="1:6" x14ac:dyDescent="0.35">
      <c r="A83" s="3" t="s">
        <v>63</v>
      </c>
      <c r="B83" s="2"/>
      <c r="C83" s="2"/>
      <c r="D83" s="2"/>
      <c r="E83" s="2"/>
      <c r="F83" s="2"/>
    </row>
    <row r="84" spans="1:6" x14ac:dyDescent="0.35">
      <c r="A84" s="3" t="s">
        <v>64</v>
      </c>
      <c r="B84" s="2">
        <v>1</v>
      </c>
      <c r="C84" s="2"/>
      <c r="D84" s="2"/>
      <c r="E84" s="2"/>
      <c r="F84" s="2"/>
    </row>
    <row r="85" spans="1:6" x14ac:dyDescent="0.35">
      <c r="A85" s="3" t="s">
        <v>65</v>
      </c>
      <c r="B85" s="2">
        <v>1</v>
      </c>
      <c r="C85" s="2"/>
      <c r="D85" s="2"/>
      <c r="E85" s="2"/>
      <c r="F85" s="2"/>
    </row>
    <row r="86" spans="1:6" x14ac:dyDescent="0.35">
      <c r="A86" s="3" t="s">
        <v>66</v>
      </c>
      <c r="B86" s="2">
        <v>0</v>
      </c>
      <c r="C86" s="2"/>
      <c r="D86" s="2"/>
      <c r="E86" s="2"/>
      <c r="F86" s="2"/>
    </row>
    <row r="87" spans="1:6" x14ac:dyDescent="0.35">
      <c r="A87" s="3" t="s">
        <v>67</v>
      </c>
      <c r="B87" s="2">
        <v>1</v>
      </c>
      <c r="C87" s="2"/>
      <c r="D87" s="2"/>
      <c r="E87" s="2"/>
      <c r="F87" s="2"/>
    </row>
    <row r="88" spans="1:6" x14ac:dyDescent="0.35">
      <c r="A88" s="3" t="s">
        <v>68</v>
      </c>
      <c r="B88" s="2"/>
      <c r="C88" s="2"/>
      <c r="D88" s="2"/>
      <c r="E88" s="2"/>
      <c r="F88" s="2"/>
    </row>
    <row r="89" spans="1:6" x14ac:dyDescent="0.35">
      <c r="A89" s="3" t="s">
        <v>69</v>
      </c>
      <c r="B89" s="2">
        <v>10</v>
      </c>
      <c r="C89" s="2"/>
      <c r="D89" s="2"/>
      <c r="E89" s="2"/>
      <c r="F89" s="2"/>
    </row>
    <row r="90" spans="1:6" x14ac:dyDescent="0.3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35">
      <c r="A91" s="3" t="s">
        <v>72</v>
      </c>
      <c r="B91" s="2"/>
      <c r="C91" s="2"/>
      <c r="D91" s="2"/>
      <c r="E91" s="2"/>
      <c r="F91" s="2"/>
    </row>
    <row r="92" spans="1:6" x14ac:dyDescent="0.3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3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3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35">
      <c r="A95" s="3" t="s">
        <v>79</v>
      </c>
      <c r="B95" s="2"/>
      <c r="C95" s="2"/>
      <c r="D95" s="2"/>
      <c r="E95" s="2"/>
      <c r="F95" s="2"/>
    </row>
    <row r="96" spans="1:6" x14ac:dyDescent="0.3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3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35">
      <c r="A98" s="3" t="s">
        <v>84</v>
      </c>
      <c r="B98" s="2">
        <v>3976</v>
      </c>
      <c r="C98" s="2"/>
      <c r="D98" s="2"/>
      <c r="E98" s="2"/>
      <c r="F98" s="2"/>
    </row>
    <row r="99" spans="1:6" x14ac:dyDescent="0.3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86</v>
      </c>
      <c r="B101" s="2"/>
      <c r="C101" s="2"/>
      <c r="D101" s="2"/>
      <c r="E101" s="2"/>
      <c r="F101" s="2"/>
    </row>
    <row r="102" spans="1:6" x14ac:dyDescent="0.35">
      <c r="A102" s="3" t="s">
        <v>87</v>
      </c>
      <c r="B102" s="2"/>
      <c r="C102" s="2"/>
      <c r="D102" s="2"/>
      <c r="E102" s="2"/>
      <c r="F102" s="2"/>
    </row>
    <row r="103" spans="1:6" x14ac:dyDescent="0.35">
      <c r="A103" s="3" t="s">
        <v>88</v>
      </c>
      <c r="B103" s="2"/>
      <c r="C103" s="2">
        <v>267</v>
      </c>
      <c r="D103" s="2"/>
      <c r="E103" s="2"/>
      <c r="F103" s="2"/>
    </row>
    <row r="104" spans="1:6" x14ac:dyDescent="0.3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35">
      <c r="A105" s="5">
        <v>4.5649999999999999E-7</v>
      </c>
      <c r="B105" s="4">
        <v>4.5653973000000001E-7</v>
      </c>
      <c r="C105" s="2"/>
      <c r="D105" s="2"/>
      <c r="E105" s="2"/>
      <c r="F105" s="2"/>
    </row>
    <row r="106" spans="1:6" x14ac:dyDescent="0.35">
      <c r="A106" s="5">
        <v>8.2809999999999996E-7</v>
      </c>
      <c r="B106" s="4">
        <v>8.2814351000000003E-7</v>
      </c>
      <c r="C106" s="2"/>
      <c r="D106" s="2"/>
      <c r="E106" s="2"/>
      <c r="F106" s="2"/>
    </row>
    <row r="107" spans="1:6" x14ac:dyDescent="0.35">
      <c r="A107" s="5">
        <v>9.9890000000000008E-7</v>
      </c>
      <c r="B107" s="4">
        <v>9.9887677999999992E-7</v>
      </c>
      <c r="C107" s="2"/>
      <c r="D107" s="2"/>
      <c r="E107" s="2"/>
      <c r="F107" s="2"/>
    </row>
    <row r="108" spans="1:6" x14ac:dyDescent="0.35">
      <c r="A108" s="3" t="s">
        <v>89</v>
      </c>
      <c r="B108" s="2"/>
      <c r="C108" s="2"/>
      <c r="D108" s="2"/>
      <c r="E108" s="2"/>
      <c r="F108" s="2"/>
    </row>
    <row r="109" spans="1:6" x14ac:dyDescent="0.35">
      <c r="A109" s="3">
        <v>0.99970000000000003</v>
      </c>
      <c r="B109" s="2">
        <v>0.99974249999999998</v>
      </c>
      <c r="C109" s="2"/>
      <c r="D109" s="2"/>
      <c r="E109" s="2"/>
      <c r="F109" s="2"/>
    </row>
    <row r="110" spans="1:6" x14ac:dyDescent="0.35">
      <c r="A110" s="3">
        <v>0.99970000000000003</v>
      </c>
      <c r="B110" s="2">
        <v>0.99974262999999997</v>
      </c>
      <c r="C110" s="2"/>
      <c r="D110" s="2"/>
      <c r="E110" s="2"/>
      <c r="F110" s="2"/>
    </row>
    <row r="111" spans="1:6" x14ac:dyDescent="0.35">
      <c r="A111" s="3">
        <v>0.99990000000000001</v>
      </c>
      <c r="B111" s="2">
        <v>0.99988560000000004</v>
      </c>
      <c r="C111" s="2"/>
      <c r="D111" s="2"/>
      <c r="E111" s="2"/>
      <c r="F111" s="2"/>
    </row>
    <row r="112" spans="1:6" x14ac:dyDescent="0.35">
      <c r="A112" s="3" t="s">
        <v>90</v>
      </c>
      <c r="B112" s="2"/>
      <c r="C112" s="2">
        <v>267</v>
      </c>
      <c r="D112" s="2"/>
      <c r="E112" s="2"/>
      <c r="F112" s="2"/>
    </row>
    <row r="113" spans="1:6" x14ac:dyDescent="0.3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35">
      <c r="A114" s="5">
        <v>5.5779999999999998E-10</v>
      </c>
      <c r="B114" s="4">
        <v>5.5778284000000005E-10</v>
      </c>
      <c r="C114" s="2"/>
      <c r="D114" s="2"/>
      <c r="E114" s="2"/>
      <c r="F114" s="2"/>
    </row>
    <row r="115" spans="1:6" x14ac:dyDescent="0.35">
      <c r="A115" s="5">
        <v>5.0749999999999999E-9</v>
      </c>
      <c r="B115" s="4">
        <v>5.0746204999999997E-9</v>
      </c>
      <c r="C115" s="2"/>
      <c r="D115" s="2"/>
      <c r="E115" s="2"/>
      <c r="F115" s="2"/>
    </row>
    <row r="116" spans="1:6" x14ac:dyDescent="0.35">
      <c r="A116" s="5">
        <v>1.164E-8</v>
      </c>
      <c r="B116" s="4">
        <v>1.1639567E-8</v>
      </c>
      <c r="C116" s="2"/>
      <c r="D116" s="2"/>
      <c r="E116" s="2"/>
      <c r="F116" s="2"/>
    </row>
    <row r="117" spans="1:6" x14ac:dyDescent="0.35">
      <c r="A117" s="3" t="s">
        <v>89</v>
      </c>
      <c r="B117" s="2"/>
      <c r="C117" s="2"/>
      <c r="D117" s="2"/>
      <c r="E117" s="2"/>
      <c r="F117" s="2"/>
    </row>
    <row r="118" spans="1:6" x14ac:dyDescent="0.35">
      <c r="A118" s="3">
        <v>1</v>
      </c>
      <c r="B118" s="2">
        <v>0.99999850000000001</v>
      </c>
      <c r="C118" s="2"/>
      <c r="D118" s="2"/>
      <c r="E118" s="2"/>
      <c r="F118" s="2"/>
    </row>
    <row r="119" spans="1:6" x14ac:dyDescent="0.35">
      <c r="A119" s="3">
        <v>1</v>
      </c>
      <c r="B119" s="2">
        <v>0.99999855000000004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0.99999895999999999</v>
      </c>
      <c r="C120" s="2"/>
      <c r="D120" s="2"/>
      <c r="E120" s="2"/>
      <c r="F120" s="2"/>
    </row>
    <row r="121" spans="1:6" x14ac:dyDescent="0.35">
      <c r="A121" s="3" t="s">
        <v>91</v>
      </c>
      <c r="B121" s="2"/>
      <c r="C121" s="2">
        <v>267</v>
      </c>
      <c r="D121" s="2"/>
      <c r="E121" s="2"/>
      <c r="F121" s="2"/>
    </row>
    <row r="122" spans="1:6" x14ac:dyDescent="0.35">
      <c r="A122" s="5">
        <v>4.1029999999999998E-12</v>
      </c>
      <c r="B122" s="4">
        <v>4.1030068999999997E-12</v>
      </c>
      <c r="C122" s="2"/>
      <c r="D122" s="2"/>
      <c r="E122" s="2"/>
      <c r="F122" s="2"/>
    </row>
    <row r="123" spans="1:6" x14ac:dyDescent="0.35">
      <c r="A123" s="5">
        <v>9.7920000000000009E-10</v>
      </c>
      <c r="B123" s="4">
        <v>9.7918018999999994E-10</v>
      </c>
      <c r="C123" s="2"/>
      <c r="D123" s="2"/>
      <c r="E123" s="2"/>
      <c r="F123" s="2"/>
    </row>
    <row r="124" spans="1:6" x14ac:dyDescent="0.35">
      <c r="A124" s="5">
        <v>2.1670000000000001E-9</v>
      </c>
      <c r="B124" s="4">
        <v>2.1673157999999998E-9</v>
      </c>
      <c r="C124" s="2"/>
      <c r="D124" s="2"/>
      <c r="E124" s="2"/>
      <c r="F124" s="2"/>
    </row>
    <row r="125" spans="1:6" x14ac:dyDescent="0.35">
      <c r="A125" s="5">
        <v>4.0739999999999998E-9</v>
      </c>
      <c r="B125" s="4">
        <v>4.0735033000000003E-9</v>
      </c>
      <c r="C125" s="2"/>
      <c r="D125" s="2"/>
      <c r="E125" s="2"/>
      <c r="F125" s="2"/>
    </row>
    <row r="126" spans="1:6" x14ac:dyDescent="0.35">
      <c r="A126" s="3" t="s">
        <v>89</v>
      </c>
      <c r="B126" s="2"/>
      <c r="C126" s="2"/>
      <c r="D126" s="2"/>
      <c r="E126" s="2"/>
      <c r="F126" s="2"/>
    </row>
    <row r="127" spans="1:6" x14ac:dyDescent="0.35">
      <c r="A127" s="3">
        <v>0.99980000000000002</v>
      </c>
      <c r="B127" s="2">
        <v>0.99978206000000003</v>
      </c>
      <c r="C127" s="2"/>
      <c r="D127" s="2"/>
      <c r="E127" s="2"/>
      <c r="F127" s="2"/>
    </row>
    <row r="128" spans="1:6" x14ac:dyDescent="0.35">
      <c r="A128" s="3">
        <v>0.99990000000000001</v>
      </c>
      <c r="B128" s="2">
        <v>0.99989050000000002</v>
      </c>
      <c r="C128" s="2"/>
      <c r="D128" s="2"/>
      <c r="E128" s="2"/>
      <c r="F128" s="2"/>
    </row>
    <row r="129" spans="1:6" x14ac:dyDescent="0.35">
      <c r="A129" s="3">
        <v>1</v>
      </c>
      <c r="B129" s="2">
        <v>0.99996379000000002</v>
      </c>
      <c r="C129" s="2"/>
      <c r="D129" s="2"/>
      <c r="E129" s="2"/>
      <c r="F129" s="2"/>
    </row>
    <row r="130" spans="1:6" x14ac:dyDescent="0.35">
      <c r="A130" s="3" t="s">
        <v>92</v>
      </c>
      <c r="B130" s="2"/>
      <c r="C130" s="2">
        <v>267</v>
      </c>
      <c r="D130" s="2"/>
      <c r="E130" s="2"/>
      <c r="F130" s="2"/>
    </row>
    <row r="131" spans="1:6" x14ac:dyDescent="0.35">
      <c r="A131" s="5">
        <v>2.2119999999999999E-17</v>
      </c>
      <c r="B131" s="4">
        <v>2.2124489E-17</v>
      </c>
      <c r="C131" s="2"/>
      <c r="D131" s="2"/>
      <c r="E131" s="2"/>
      <c r="F131" s="2"/>
    </row>
    <row r="132" spans="1:6" x14ac:dyDescent="0.35">
      <c r="A132" s="5">
        <v>1.688E-16</v>
      </c>
      <c r="B132" s="4">
        <v>1.6883869000000001E-16</v>
      </c>
      <c r="C132" s="2"/>
      <c r="D132" s="2"/>
      <c r="E132" s="2"/>
      <c r="F132" s="2"/>
    </row>
    <row r="133" spans="1:6" x14ac:dyDescent="0.35">
      <c r="A133" s="5">
        <v>9.6519999999999999E-16</v>
      </c>
      <c r="B133" s="4">
        <v>9.6516893000000006E-16</v>
      </c>
      <c r="C133" s="2"/>
      <c r="D133" s="2"/>
      <c r="E133" s="2"/>
      <c r="F133" s="2"/>
    </row>
    <row r="134" spans="1:6" x14ac:dyDescent="0.35">
      <c r="A134" s="5">
        <v>1.297E-15</v>
      </c>
      <c r="B134" s="4">
        <v>1.2974233000000001E-15</v>
      </c>
      <c r="C134" s="2"/>
      <c r="D134" s="2"/>
      <c r="E134" s="2"/>
      <c r="F134" s="2"/>
    </row>
    <row r="135" spans="1:6" x14ac:dyDescent="0.35">
      <c r="A135" s="3" t="s">
        <v>89</v>
      </c>
      <c r="B135" s="2"/>
      <c r="C135" s="2"/>
      <c r="D135" s="2"/>
      <c r="E135" s="2"/>
      <c r="F135" s="2"/>
    </row>
    <row r="136" spans="1:6" x14ac:dyDescent="0.35">
      <c r="A136" s="3">
        <v>0.69599999999999995</v>
      </c>
      <c r="B136" s="2">
        <v>0.69600974000000004</v>
      </c>
      <c r="C136" s="2"/>
      <c r="D136" s="2"/>
      <c r="E136" s="2"/>
      <c r="F136" s="2"/>
    </row>
    <row r="137" spans="1:6" x14ac:dyDescent="0.35">
      <c r="A137" s="3">
        <v>0.98260000000000003</v>
      </c>
      <c r="B137" s="2">
        <v>0.98263968000000002</v>
      </c>
      <c r="C137" s="2"/>
      <c r="D137" s="2"/>
      <c r="E137" s="2"/>
      <c r="F137" s="2"/>
    </row>
    <row r="138" spans="1:6" x14ac:dyDescent="0.35">
      <c r="A138" s="3">
        <v>1</v>
      </c>
      <c r="B138" s="2">
        <v>0.99999958</v>
      </c>
      <c r="C138" s="2"/>
      <c r="D138" s="2"/>
      <c r="E138" s="2"/>
      <c r="F138" s="2"/>
    </row>
    <row r="139" spans="1:6" x14ac:dyDescent="0.35">
      <c r="A139" s="3" t="s">
        <v>93</v>
      </c>
      <c r="B139" s="2"/>
      <c r="C139" s="2"/>
      <c r="D139" s="2"/>
      <c r="E139" s="2"/>
      <c r="F139" s="2"/>
    </row>
    <row r="140" spans="1:6" x14ac:dyDescent="0.35">
      <c r="A140" s="3" t="s">
        <v>150</v>
      </c>
      <c r="B140" s="2" t="s">
        <v>95</v>
      </c>
      <c r="C140" s="2">
        <v>5</v>
      </c>
      <c r="D140" s="2"/>
      <c r="E140" s="2"/>
      <c r="F140" s="2"/>
    </row>
    <row r="141" spans="1:6" x14ac:dyDescent="0.35">
      <c r="A141" s="3" t="s">
        <v>151</v>
      </c>
      <c r="B141" s="2" t="s">
        <v>151</v>
      </c>
      <c r="C141" s="2"/>
      <c r="D141" s="2"/>
      <c r="E141" s="2"/>
      <c r="F141" s="2"/>
    </row>
    <row r="142" spans="1:6" x14ac:dyDescent="0.35">
      <c r="A142" s="3" t="s">
        <v>157</v>
      </c>
      <c r="B142" s="2" t="s">
        <v>157</v>
      </c>
      <c r="C142" s="2"/>
      <c r="D142" s="2"/>
      <c r="E142" s="2"/>
      <c r="F142" s="2"/>
    </row>
    <row r="143" spans="1:6" x14ac:dyDescent="0.35">
      <c r="A143" s="3" t="s">
        <v>162</v>
      </c>
      <c r="B143" s="2" t="s">
        <v>162</v>
      </c>
      <c r="C143" s="2"/>
      <c r="D143" s="2"/>
      <c r="E143" s="2"/>
      <c r="F143" s="2"/>
    </row>
    <row r="144" spans="1:6" x14ac:dyDescent="0.35">
      <c r="A144" s="3" t="s">
        <v>166</v>
      </c>
      <c r="B144" s="2" t="s">
        <v>166</v>
      </c>
      <c r="C144" s="2"/>
      <c r="D144" s="2"/>
      <c r="E144" s="2"/>
      <c r="F144" s="2"/>
    </row>
    <row r="145" spans="1:16" x14ac:dyDescent="0.35">
      <c r="A145" s="3" t="s">
        <v>169</v>
      </c>
      <c r="B145" s="2" t="s">
        <v>169</v>
      </c>
      <c r="C145" s="2"/>
      <c r="D145" s="2"/>
      <c r="E145" s="2"/>
      <c r="F145" s="2"/>
    </row>
    <row r="147" spans="1:16" ht="17.5" x14ac:dyDescent="0.35">
      <c r="A147" s="1" t="s">
        <v>102</v>
      </c>
    </row>
    <row r="149" spans="1:16" x14ac:dyDescent="0.35">
      <c r="A149" s="3" t="s">
        <v>103</v>
      </c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35">
      <c r="A150" s="3" t="s">
        <v>104</v>
      </c>
      <c r="B150" s="3" t="s">
        <v>42</v>
      </c>
      <c r="C150" s="3" t="s">
        <v>105</v>
      </c>
      <c r="D150" s="3" t="s">
        <v>123</v>
      </c>
      <c r="E150" s="3" t="s">
        <v>43</v>
      </c>
      <c r="F150" s="3" t="s">
        <v>105</v>
      </c>
      <c r="G150" s="3" t="s">
        <v>123</v>
      </c>
      <c r="H150" s="3" t="s">
        <v>44</v>
      </c>
      <c r="I150" s="3" t="s">
        <v>105</v>
      </c>
      <c r="J150" s="3" t="s">
        <v>123</v>
      </c>
      <c r="K150" s="3" t="s">
        <v>45</v>
      </c>
      <c r="L150" s="3" t="s">
        <v>105</v>
      </c>
      <c r="M150" s="3" t="s">
        <v>123</v>
      </c>
      <c r="N150" s="3" t="s">
        <v>106</v>
      </c>
      <c r="O150" s="3" t="s">
        <v>9</v>
      </c>
      <c r="P150" s="2"/>
    </row>
    <row r="151" spans="1:16" x14ac:dyDescent="0.35">
      <c r="A151" s="3"/>
      <c r="B151" s="2">
        <v>6.4500999999999999</v>
      </c>
      <c r="C151" s="2">
        <v>0.35489999999999999</v>
      </c>
      <c r="D151" s="2">
        <v>18.1768</v>
      </c>
      <c r="E151" s="2">
        <v>4.6898</v>
      </c>
      <c r="F151" s="2">
        <v>0.38400000000000001</v>
      </c>
      <c r="G151" s="2">
        <v>12.213900000000001</v>
      </c>
      <c r="H151" s="2">
        <v>4.9283000000000001</v>
      </c>
      <c r="I151" s="2">
        <v>0.38219999999999998</v>
      </c>
      <c r="J151" s="2">
        <v>12.8954</v>
      </c>
      <c r="K151" s="2">
        <v>-16.068200000000001</v>
      </c>
      <c r="L151" s="2">
        <v>1.0593999999999999</v>
      </c>
      <c r="M151" s="2">
        <v>-15.167</v>
      </c>
      <c r="N151" s="2">
        <v>426.74779999999998</v>
      </c>
      <c r="O151" s="4">
        <v>3.4999999999999999E-92</v>
      </c>
      <c r="P151" s="2"/>
    </row>
    <row r="152" spans="1:16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35">
      <c r="A153" s="3" t="s">
        <v>107</v>
      </c>
      <c r="B153" s="3" t="s">
        <v>42</v>
      </c>
      <c r="C153" s="3" t="s">
        <v>105</v>
      </c>
      <c r="D153" s="3" t="s">
        <v>123</v>
      </c>
      <c r="E153" s="3" t="s">
        <v>43</v>
      </c>
      <c r="F153" s="3" t="s">
        <v>105</v>
      </c>
      <c r="G153" s="3" t="s">
        <v>123</v>
      </c>
      <c r="H153" s="3" t="s">
        <v>44</v>
      </c>
      <c r="I153" s="3" t="s">
        <v>105</v>
      </c>
      <c r="J153" s="3" t="s">
        <v>123</v>
      </c>
      <c r="K153" s="3" t="s">
        <v>45</v>
      </c>
      <c r="L153" s="3" t="s">
        <v>105</v>
      </c>
      <c r="M153" s="3" t="s">
        <v>123</v>
      </c>
      <c r="N153" s="3" t="s">
        <v>106</v>
      </c>
      <c r="O153" s="3" t="s">
        <v>9</v>
      </c>
      <c r="P153" s="2"/>
    </row>
    <row r="154" spans="1:16" x14ac:dyDescent="0.35">
      <c r="A154" s="3" t="s">
        <v>150</v>
      </c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ht="28" x14ac:dyDescent="0.35">
      <c r="A155" s="3" t="s">
        <v>151</v>
      </c>
      <c r="B155" s="2">
        <v>5.726</v>
      </c>
      <c r="C155" s="2">
        <v>1.0609999999999999</v>
      </c>
      <c r="D155" s="2">
        <v>5.3968999999999996</v>
      </c>
      <c r="E155" s="2">
        <v>6.0304000000000002</v>
      </c>
      <c r="F155" s="2">
        <v>1.1396999999999999</v>
      </c>
      <c r="G155" s="2">
        <v>5.2912999999999997</v>
      </c>
      <c r="H155" s="2">
        <v>5.1109999999999998</v>
      </c>
      <c r="I155" s="2">
        <v>0.97230000000000005</v>
      </c>
      <c r="J155" s="2">
        <v>5.2567000000000004</v>
      </c>
      <c r="K155" s="2">
        <v>-16.8674</v>
      </c>
      <c r="L155" s="2">
        <v>3.0712999999999999</v>
      </c>
      <c r="M155" s="2">
        <v>-5.4919000000000002</v>
      </c>
      <c r="N155" s="2">
        <v>52372.905700000003</v>
      </c>
      <c r="O155" s="4" t="s">
        <v>187</v>
      </c>
      <c r="P155" s="2"/>
    </row>
    <row r="156" spans="1:16" x14ac:dyDescent="0.35">
      <c r="A156" s="3" t="s">
        <v>157</v>
      </c>
      <c r="B156" s="2">
        <v>7.9054000000000002</v>
      </c>
      <c r="C156" s="2">
        <v>0.2742</v>
      </c>
      <c r="D156" s="2">
        <v>28.826699999999999</v>
      </c>
      <c r="E156" s="2">
        <v>7.1683000000000003</v>
      </c>
      <c r="F156" s="2">
        <v>0.46820000000000001</v>
      </c>
      <c r="G156" s="2">
        <v>15.308999999999999</v>
      </c>
      <c r="H156" s="2">
        <v>7.7911000000000001</v>
      </c>
      <c r="I156" s="2">
        <v>13030963.063899999</v>
      </c>
      <c r="J156" s="2">
        <v>0</v>
      </c>
      <c r="K156" s="2">
        <v>-22.864799999999999</v>
      </c>
      <c r="L156" s="2">
        <v>13030962.7322</v>
      </c>
      <c r="M156" s="2">
        <v>0</v>
      </c>
      <c r="N156" s="2"/>
      <c r="O156" s="2"/>
      <c r="P156" s="2"/>
    </row>
    <row r="157" spans="1:16" x14ac:dyDescent="0.35">
      <c r="A157" s="3" t="s">
        <v>162</v>
      </c>
      <c r="B157" s="2">
        <v>-3.7492000000000001</v>
      </c>
      <c r="C157" s="2">
        <v>0.58579999999999999</v>
      </c>
      <c r="D157" s="2">
        <v>-6.3998999999999997</v>
      </c>
      <c r="E157" s="2">
        <v>-3.6606000000000001</v>
      </c>
      <c r="F157" s="2">
        <v>0.60940000000000005</v>
      </c>
      <c r="G157" s="2">
        <v>-6.0069999999999997</v>
      </c>
      <c r="H157" s="2">
        <v>-3.7894999999999999</v>
      </c>
      <c r="I157" s="2">
        <v>0.62649999999999995</v>
      </c>
      <c r="J157" s="2">
        <v>-6.0483000000000002</v>
      </c>
      <c r="K157" s="2">
        <v>11.199299999999999</v>
      </c>
      <c r="L157" s="2">
        <v>1.7452000000000001</v>
      </c>
      <c r="M157" s="2">
        <v>6.4173</v>
      </c>
      <c r="N157" s="2"/>
      <c r="O157" s="2"/>
      <c r="P157" s="2"/>
    </row>
    <row r="158" spans="1:16" x14ac:dyDescent="0.35">
      <c r="A158" s="3" t="s">
        <v>166</v>
      </c>
      <c r="B158" s="2">
        <v>-5.4752000000000001</v>
      </c>
      <c r="C158" s="2">
        <v>0.37959999999999999</v>
      </c>
      <c r="D158" s="2">
        <v>-14.423500000000001</v>
      </c>
      <c r="E158" s="2">
        <v>-4.2446999999999999</v>
      </c>
      <c r="F158" s="2">
        <v>0.4834</v>
      </c>
      <c r="G158" s="2">
        <v>-8.7806999999999995</v>
      </c>
      <c r="H158" s="2">
        <v>-4.9302000000000001</v>
      </c>
      <c r="I158" s="2">
        <v>10639431.742000001</v>
      </c>
      <c r="J158" s="2">
        <v>0</v>
      </c>
      <c r="K158" s="2">
        <v>14.65</v>
      </c>
      <c r="L158" s="2">
        <v>10639431.434</v>
      </c>
      <c r="M158" s="2">
        <v>0</v>
      </c>
      <c r="N158" s="2"/>
      <c r="O158" s="2"/>
      <c r="P158" s="2"/>
    </row>
    <row r="159" spans="1:16" x14ac:dyDescent="0.35">
      <c r="A159" s="3" t="s">
        <v>169</v>
      </c>
      <c r="B159" s="2">
        <v>-4.407</v>
      </c>
      <c r="C159" s="2">
        <v>0.45329999999999998</v>
      </c>
      <c r="D159" s="2">
        <v>-9.7220999999999993</v>
      </c>
      <c r="E159" s="2">
        <v>-5.2934000000000001</v>
      </c>
      <c r="F159" s="2">
        <v>0.55110000000000003</v>
      </c>
      <c r="G159" s="2">
        <v>-9.6044</v>
      </c>
      <c r="H159" s="2">
        <v>-4.1824000000000003</v>
      </c>
      <c r="I159" s="2">
        <v>21734293.216499999</v>
      </c>
      <c r="J159" s="2">
        <v>0</v>
      </c>
      <c r="K159" s="2">
        <v>13.8828</v>
      </c>
      <c r="L159" s="2">
        <v>21734293.344999999</v>
      </c>
      <c r="M159" s="2">
        <v>0</v>
      </c>
      <c r="N159" s="2"/>
      <c r="O159" s="2"/>
      <c r="P159" s="2"/>
    </row>
    <row r="160" spans="1:16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2" spans="1:6" ht="17.5" x14ac:dyDescent="0.35">
      <c r="A162" s="1" t="s">
        <v>108</v>
      </c>
    </row>
    <row r="164" spans="1:6" x14ac:dyDescent="0.35">
      <c r="A164" s="3" t="s">
        <v>103</v>
      </c>
      <c r="B164" s="3"/>
      <c r="C164" s="3"/>
      <c r="D164" s="3" t="s">
        <v>106</v>
      </c>
      <c r="E164" s="3" t="s">
        <v>109</v>
      </c>
      <c r="F164" s="3" t="s">
        <v>9</v>
      </c>
    </row>
    <row r="165" spans="1:6" x14ac:dyDescent="0.35">
      <c r="A165" s="3" t="s">
        <v>104</v>
      </c>
      <c r="B165" s="2"/>
      <c r="C165" s="2"/>
      <c r="D165" s="2"/>
      <c r="E165" s="2"/>
      <c r="F165" s="2"/>
    </row>
    <row r="166" spans="1:6" x14ac:dyDescent="0.35">
      <c r="A166" s="3" t="s">
        <v>110</v>
      </c>
      <c r="B166" s="3">
        <v>1</v>
      </c>
      <c r="C166" s="3">
        <v>2</v>
      </c>
      <c r="D166" s="2">
        <v>62.438699999999997</v>
      </c>
      <c r="E166" s="2">
        <v>1</v>
      </c>
      <c r="F166" s="4">
        <v>2.7000000000000001E-15</v>
      </c>
    </row>
    <row r="167" spans="1:6" x14ac:dyDescent="0.35">
      <c r="A167" s="3" t="s">
        <v>110</v>
      </c>
      <c r="B167" s="3">
        <v>1</v>
      </c>
      <c r="C167" s="3">
        <v>3</v>
      </c>
      <c r="D167" s="2">
        <v>97.009500000000003</v>
      </c>
      <c r="E167" s="2">
        <v>1</v>
      </c>
      <c r="F167" s="4">
        <v>6.8999999999999994E-23</v>
      </c>
    </row>
    <row r="168" spans="1:6" x14ac:dyDescent="0.35">
      <c r="A168" s="3" t="s">
        <v>110</v>
      </c>
      <c r="B168" s="3">
        <v>1</v>
      </c>
      <c r="C168" s="3">
        <v>4</v>
      </c>
      <c r="D168" s="2">
        <v>257.14089999999999</v>
      </c>
      <c r="E168" s="2">
        <v>1</v>
      </c>
      <c r="F168" s="4">
        <v>7.2000000000000002E-58</v>
      </c>
    </row>
    <row r="169" spans="1:6" x14ac:dyDescent="0.35">
      <c r="A169" s="3" t="s">
        <v>110</v>
      </c>
      <c r="B169" s="3">
        <v>2</v>
      </c>
      <c r="C169" s="3">
        <v>3</v>
      </c>
      <c r="D169" s="2">
        <v>0.91259999999999997</v>
      </c>
      <c r="E169" s="2">
        <v>1</v>
      </c>
      <c r="F169" s="2">
        <v>0.34</v>
      </c>
    </row>
    <row r="170" spans="1:6" x14ac:dyDescent="0.35">
      <c r="A170" s="3" t="s">
        <v>110</v>
      </c>
      <c r="B170" s="3">
        <v>2</v>
      </c>
      <c r="C170" s="3">
        <v>4</v>
      </c>
      <c r="D170" s="2">
        <v>213.364</v>
      </c>
      <c r="E170" s="2">
        <v>1</v>
      </c>
      <c r="F170" s="4">
        <v>2.4999999999999999E-48</v>
      </c>
    </row>
    <row r="171" spans="1:6" x14ac:dyDescent="0.35">
      <c r="A171" s="3" t="s">
        <v>110</v>
      </c>
      <c r="B171" s="3">
        <v>3</v>
      </c>
      <c r="C171" s="3">
        <v>4</v>
      </c>
      <c r="D171" s="2">
        <v>216.1277</v>
      </c>
      <c r="E171" s="2">
        <v>1</v>
      </c>
      <c r="F171" s="4">
        <v>6.2999999999999997E-49</v>
      </c>
    </row>
    <row r="172" spans="1:6" x14ac:dyDescent="0.35">
      <c r="A172" s="3" t="s">
        <v>150</v>
      </c>
      <c r="B172" s="2"/>
      <c r="C172" s="2"/>
      <c r="D172" s="2"/>
      <c r="E172" s="2"/>
      <c r="F172" s="2"/>
    </row>
    <row r="173" spans="1:6" x14ac:dyDescent="0.35">
      <c r="A173" s="3" t="s">
        <v>110</v>
      </c>
      <c r="B173" s="3">
        <v>1</v>
      </c>
      <c r="C173" s="3">
        <v>2</v>
      </c>
      <c r="D173" s="2">
        <v>11.6501</v>
      </c>
      <c r="E173" s="2">
        <v>4</v>
      </c>
      <c r="F173" s="2">
        <v>0.02</v>
      </c>
    </row>
    <row r="174" spans="1:6" x14ac:dyDescent="0.35">
      <c r="A174" s="3" t="s">
        <v>110</v>
      </c>
      <c r="B174" s="3">
        <v>1</v>
      </c>
      <c r="C174" s="3">
        <v>3</v>
      </c>
      <c r="D174" s="2">
        <v>3.3940000000000001</v>
      </c>
      <c r="E174" s="2">
        <v>4</v>
      </c>
      <c r="F174" s="2">
        <v>0.49</v>
      </c>
    </row>
    <row r="175" spans="1:6" x14ac:dyDescent="0.35">
      <c r="A175" s="3" t="s">
        <v>110</v>
      </c>
      <c r="B175" s="3">
        <v>1</v>
      </c>
      <c r="C175" s="3">
        <v>4</v>
      </c>
      <c r="D175" s="2">
        <v>50.171799999999998</v>
      </c>
      <c r="E175" s="2">
        <v>4</v>
      </c>
      <c r="F175" s="4">
        <v>3.3E-10</v>
      </c>
    </row>
    <row r="176" spans="1:6" x14ac:dyDescent="0.35">
      <c r="A176" s="3" t="s">
        <v>110</v>
      </c>
      <c r="B176" s="3">
        <v>2</v>
      </c>
      <c r="C176" s="3">
        <v>3</v>
      </c>
      <c r="D176" s="2">
        <v>3.2147999999999999</v>
      </c>
      <c r="E176" s="2">
        <v>4</v>
      </c>
      <c r="F176" s="2">
        <v>0.52</v>
      </c>
    </row>
    <row r="177" spans="1:9" x14ac:dyDescent="0.35">
      <c r="A177" s="3" t="s">
        <v>110</v>
      </c>
      <c r="B177" s="3">
        <v>2</v>
      </c>
      <c r="C177" s="3">
        <v>4</v>
      </c>
      <c r="D177" s="2">
        <v>49.287500000000001</v>
      </c>
      <c r="E177" s="2">
        <v>4</v>
      </c>
      <c r="F177" s="4">
        <v>5.1E-10</v>
      </c>
    </row>
    <row r="178" spans="1:9" x14ac:dyDescent="0.35">
      <c r="A178" s="3" t="s">
        <v>110</v>
      </c>
      <c r="B178" s="3">
        <v>3</v>
      </c>
      <c r="C178" s="3">
        <v>4</v>
      </c>
      <c r="D178" s="2">
        <v>48.392600000000002</v>
      </c>
      <c r="E178" s="2">
        <v>4</v>
      </c>
      <c r="F178" s="4">
        <v>7.7999999999999999E-10</v>
      </c>
    </row>
    <row r="180" spans="1:9" ht="17.5" x14ac:dyDescent="0.35">
      <c r="A180" s="1" t="s">
        <v>111</v>
      </c>
    </row>
    <row r="182" spans="1:9" x14ac:dyDescent="0.35">
      <c r="A182" s="2"/>
      <c r="B182" s="3" t="s">
        <v>42</v>
      </c>
      <c r="C182" s="3" t="s">
        <v>105</v>
      </c>
      <c r="D182" s="3" t="s">
        <v>43</v>
      </c>
      <c r="E182" s="3" t="s">
        <v>105</v>
      </c>
      <c r="F182" s="3" t="s">
        <v>44</v>
      </c>
      <c r="G182" s="3" t="s">
        <v>105</v>
      </c>
      <c r="H182" s="3" t="s">
        <v>45</v>
      </c>
      <c r="I182" s="3" t="s">
        <v>105</v>
      </c>
    </row>
    <row r="183" spans="1:9" x14ac:dyDescent="0.35">
      <c r="A183" s="3" t="s">
        <v>112</v>
      </c>
      <c r="B183" s="2">
        <v>0.72060000000000002</v>
      </c>
      <c r="C183" s="2">
        <v>85067.832200000004</v>
      </c>
      <c r="D183" s="2">
        <v>0.1326</v>
      </c>
      <c r="E183" s="2">
        <v>2421.5373</v>
      </c>
      <c r="F183" s="2">
        <v>0.14499999999999999</v>
      </c>
      <c r="G183" s="2">
        <v>88677.455499999996</v>
      </c>
      <c r="H183" s="2">
        <v>1.8E-3</v>
      </c>
      <c r="I183" s="2">
        <v>9543.1720999999998</v>
      </c>
    </row>
    <row r="184" spans="1:9" x14ac:dyDescent="0.35">
      <c r="A184" s="3" t="s">
        <v>107</v>
      </c>
      <c r="B184" s="2"/>
      <c r="C184" s="2"/>
      <c r="D184" s="2"/>
      <c r="E184" s="2"/>
      <c r="F184" s="2"/>
      <c r="G184" s="2"/>
      <c r="H184" s="2"/>
      <c r="I184" s="2"/>
    </row>
    <row r="185" spans="1:9" x14ac:dyDescent="0.35">
      <c r="A185" s="3" t="s">
        <v>150</v>
      </c>
      <c r="B185" s="2"/>
      <c r="C185" s="2"/>
      <c r="D185" s="2"/>
      <c r="E185" s="2"/>
      <c r="F185" s="2"/>
      <c r="G185" s="2"/>
      <c r="H185" s="2"/>
      <c r="I185" s="2"/>
    </row>
    <row r="186" spans="1:9" x14ac:dyDescent="0.35">
      <c r="A186" s="3" t="s">
        <v>151</v>
      </c>
      <c r="B186" s="2">
        <v>0.14979999999999999</v>
      </c>
      <c r="C186" s="2" t="s">
        <v>11</v>
      </c>
      <c r="D186" s="2">
        <v>0.18990000000000001</v>
      </c>
      <c r="E186" s="2" t="s">
        <v>11</v>
      </c>
      <c r="F186" s="2">
        <v>8.7800000000000003E-2</v>
      </c>
      <c r="G186" s="2" t="s">
        <v>11</v>
      </c>
      <c r="H186" s="2">
        <v>0</v>
      </c>
      <c r="I186" s="2" t="s">
        <v>11</v>
      </c>
    </row>
    <row r="187" spans="1:9" x14ac:dyDescent="0.35">
      <c r="A187" s="3" t="s">
        <v>157</v>
      </c>
      <c r="B187" s="2">
        <v>7.9799999999999996E-2</v>
      </c>
      <c r="C187" s="2" t="s">
        <v>11</v>
      </c>
      <c r="D187" s="2">
        <v>3.5700000000000003E-2</v>
      </c>
      <c r="E187" s="2" t="s">
        <v>11</v>
      </c>
      <c r="F187" s="2">
        <v>7.7200000000000005E-2</v>
      </c>
      <c r="G187" s="2" t="s">
        <v>11</v>
      </c>
      <c r="H187" s="2">
        <v>0</v>
      </c>
      <c r="I187" s="2" t="s">
        <v>11</v>
      </c>
    </row>
    <row r="188" spans="1:9" x14ac:dyDescent="0.35">
      <c r="A188" s="3" t="s">
        <v>162</v>
      </c>
      <c r="B188" s="2">
        <v>0.69069999999999998</v>
      </c>
      <c r="C188" s="2" t="s">
        <v>11</v>
      </c>
      <c r="D188" s="2">
        <v>0.70569999999999999</v>
      </c>
      <c r="E188" s="2" t="s">
        <v>11</v>
      </c>
      <c r="F188" s="2">
        <v>0.7198</v>
      </c>
      <c r="G188" s="2" t="s">
        <v>11</v>
      </c>
      <c r="H188" s="2">
        <v>0.1394</v>
      </c>
      <c r="I188" s="2" t="s">
        <v>11</v>
      </c>
    </row>
    <row r="189" spans="1:9" x14ac:dyDescent="0.35">
      <c r="A189" s="3" t="s">
        <v>166</v>
      </c>
      <c r="B189" s="2">
        <v>1.35E-2</v>
      </c>
      <c r="C189" s="2" t="s">
        <v>11</v>
      </c>
      <c r="D189" s="2">
        <v>4.3200000000000002E-2</v>
      </c>
      <c r="E189" s="2" t="s">
        <v>11</v>
      </c>
      <c r="F189" s="2">
        <v>2.53E-2</v>
      </c>
      <c r="G189" s="2" t="s">
        <v>11</v>
      </c>
      <c r="H189" s="2">
        <v>0.48309999999999997</v>
      </c>
      <c r="I189" s="2" t="s">
        <v>11</v>
      </c>
    </row>
    <row r="190" spans="1:9" x14ac:dyDescent="0.35">
      <c r="A190" s="3" t="s">
        <v>169</v>
      </c>
      <c r="B190" s="2">
        <v>6.6199999999999995E-2</v>
      </c>
      <c r="C190" s="2" t="s">
        <v>11</v>
      </c>
      <c r="D190" s="2">
        <v>2.5499999999999998E-2</v>
      </c>
      <c r="E190" s="2" t="s">
        <v>11</v>
      </c>
      <c r="F190" s="2">
        <v>8.9899999999999994E-2</v>
      </c>
      <c r="G190" s="2" t="s">
        <v>11</v>
      </c>
      <c r="H190" s="2">
        <v>0.3775</v>
      </c>
      <c r="I190" s="2" t="s">
        <v>11</v>
      </c>
    </row>
    <row r="192" spans="1:9" ht="17.5" x14ac:dyDescent="0.35">
      <c r="A192" s="1" t="s">
        <v>113</v>
      </c>
    </row>
    <row r="194" spans="1:9" x14ac:dyDescent="0.35">
      <c r="A194" s="2"/>
      <c r="B194" s="3" t="s">
        <v>42</v>
      </c>
      <c r="C194" s="3" t="s">
        <v>43</v>
      </c>
      <c r="D194" s="3" t="s">
        <v>44</v>
      </c>
      <c r="E194" s="3" t="s">
        <v>45</v>
      </c>
    </row>
    <row r="195" spans="1:9" x14ac:dyDescent="0.35">
      <c r="A195" s="3" t="s">
        <v>114</v>
      </c>
      <c r="B195" s="2">
        <v>0.72060000000000002</v>
      </c>
      <c r="C195" s="2">
        <v>0.1326</v>
      </c>
      <c r="D195" s="2">
        <v>0.14499999999999999</v>
      </c>
      <c r="E195" s="2">
        <v>1.8E-3</v>
      </c>
    </row>
    <row r="196" spans="1:9" x14ac:dyDescent="0.35">
      <c r="A196" s="3" t="s">
        <v>107</v>
      </c>
      <c r="B196" s="2"/>
      <c r="C196" s="2"/>
      <c r="D196" s="2"/>
      <c r="E196" s="2"/>
    </row>
    <row r="197" spans="1:9" x14ac:dyDescent="0.35">
      <c r="A197" s="3" t="s">
        <v>150</v>
      </c>
      <c r="B197" s="2"/>
      <c r="C197" s="2"/>
      <c r="D197" s="2"/>
      <c r="E197" s="2"/>
    </row>
    <row r="198" spans="1:9" x14ac:dyDescent="0.35">
      <c r="A198" s="3" t="s">
        <v>151</v>
      </c>
      <c r="B198" s="2">
        <v>0.74009999999999998</v>
      </c>
      <c r="C198" s="2">
        <v>0.1726</v>
      </c>
      <c r="D198" s="2">
        <v>8.7400000000000005E-2</v>
      </c>
      <c r="E198" s="2">
        <v>0</v>
      </c>
    </row>
    <row r="199" spans="1:9" x14ac:dyDescent="0.35">
      <c r="A199" s="3" t="s">
        <v>157</v>
      </c>
      <c r="B199" s="2">
        <v>0.78310000000000002</v>
      </c>
      <c r="C199" s="2">
        <v>6.4399999999999999E-2</v>
      </c>
      <c r="D199" s="2">
        <v>0.1525</v>
      </c>
      <c r="E199" s="2">
        <v>0</v>
      </c>
    </row>
    <row r="200" spans="1:9" x14ac:dyDescent="0.35">
      <c r="A200" s="3" t="s">
        <v>162</v>
      </c>
      <c r="B200" s="2">
        <v>0.71519999999999995</v>
      </c>
      <c r="C200" s="2">
        <v>0.13439999999999999</v>
      </c>
      <c r="D200" s="2">
        <v>0.15</v>
      </c>
      <c r="E200" s="2">
        <v>4.0000000000000002E-4</v>
      </c>
    </row>
    <row r="201" spans="1:9" x14ac:dyDescent="0.35">
      <c r="A201" s="3" t="s">
        <v>166</v>
      </c>
      <c r="B201" s="2">
        <v>0.48630000000000001</v>
      </c>
      <c r="C201" s="2">
        <v>0.28620000000000001</v>
      </c>
      <c r="D201" s="2">
        <v>0.18310000000000001</v>
      </c>
      <c r="E201" s="2">
        <v>4.4400000000000002E-2</v>
      </c>
    </row>
    <row r="202" spans="1:9" x14ac:dyDescent="0.35">
      <c r="A202" s="3" t="s">
        <v>169</v>
      </c>
      <c r="B202" s="2">
        <v>0.73599999999999999</v>
      </c>
      <c r="C202" s="2">
        <v>5.2200000000000003E-2</v>
      </c>
      <c r="D202" s="2">
        <v>0.2011</v>
      </c>
      <c r="E202" s="2">
        <v>1.0699999999999999E-2</v>
      </c>
    </row>
    <row r="204" spans="1:9" ht="17.5" x14ac:dyDescent="0.35">
      <c r="A204" s="1" t="s">
        <v>115</v>
      </c>
    </row>
    <row r="206" spans="1:9" x14ac:dyDescent="0.35">
      <c r="A206" s="2"/>
      <c r="B206" s="20" t="s">
        <v>110</v>
      </c>
      <c r="C206" s="21"/>
      <c r="D206" s="21"/>
      <c r="E206" s="21"/>
      <c r="F206" s="21"/>
      <c r="G206" s="21"/>
      <c r="H206" s="21"/>
      <c r="I206" s="22"/>
    </row>
    <row r="207" spans="1:9" x14ac:dyDescent="0.35">
      <c r="A207" s="3" t="s">
        <v>150</v>
      </c>
      <c r="B207" s="3">
        <v>1</v>
      </c>
      <c r="C207" s="3" t="s">
        <v>105</v>
      </c>
      <c r="D207" s="3">
        <v>2</v>
      </c>
      <c r="E207" s="3" t="s">
        <v>105</v>
      </c>
      <c r="F207" s="3">
        <v>3</v>
      </c>
      <c r="G207" s="3" t="s">
        <v>105</v>
      </c>
      <c r="H207" s="3">
        <v>4</v>
      </c>
      <c r="I207" s="3" t="s">
        <v>105</v>
      </c>
    </row>
    <row r="208" spans="1:9" x14ac:dyDescent="0.35">
      <c r="A208" s="3" t="s">
        <v>151</v>
      </c>
      <c r="B208" s="2">
        <v>0.74009999999999998</v>
      </c>
      <c r="C208" s="2">
        <v>7.8E-2</v>
      </c>
      <c r="D208" s="2">
        <v>0.1726</v>
      </c>
      <c r="E208" s="2">
        <v>7.8E-2</v>
      </c>
      <c r="F208" s="2">
        <v>8.7400000000000005E-2</v>
      </c>
      <c r="G208" s="2">
        <v>3.3399999999999999E-2</v>
      </c>
      <c r="H208" s="2">
        <v>0</v>
      </c>
      <c r="I208" s="2">
        <v>0</v>
      </c>
    </row>
    <row r="209" spans="1:9" x14ac:dyDescent="0.35">
      <c r="A209" s="3" t="s">
        <v>157</v>
      </c>
      <c r="B209" s="2">
        <v>0.78310000000000002</v>
      </c>
      <c r="C209" s="2">
        <v>1556057.8557</v>
      </c>
      <c r="D209" s="2">
        <v>6.4399999999999999E-2</v>
      </c>
      <c r="E209" s="2">
        <v>128059.0089</v>
      </c>
      <c r="F209" s="2">
        <v>0.1525</v>
      </c>
      <c r="G209" s="2">
        <v>1684116.8644999999</v>
      </c>
      <c r="H209" s="2">
        <v>0</v>
      </c>
      <c r="I209" s="2">
        <v>0</v>
      </c>
    </row>
    <row r="210" spans="1:9" x14ac:dyDescent="0.35">
      <c r="A210" s="3" t="s">
        <v>162</v>
      </c>
      <c r="B210" s="2">
        <v>0.71519999999999995</v>
      </c>
      <c r="C210" s="2">
        <v>3.7100000000000001E-2</v>
      </c>
      <c r="D210" s="2">
        <v>0.13439999999999999</v>
      </c>
      <c r="E210" s="2">
        <v>3.0099999999999998E-2</v>
      </c>
      <c r="F210" s="2">
        <v>0.15</v>
      </c>
      <c r="G210" s="2">
        <v>2.98E-2</v>
      </c>
      <c r="H210" s="2">
        <v>4.0000000000000002E-4</v>
      </c>
      <c r="I210" s="2">
        <v>6.9999999999999999E-4</v>
      </c>
    </row>
    <row r="211" spans="1:9" x14ac:dyDescent="0.35">
      <c r="A211" s="3" t="s">
        <v>166</v>
      </c>
      <c r="B211" s="2">
        <v>0.48630000000000001</v>
      </c>
      <c r="C211" s="2">
        <v>717401.11679999996</v>
      </c>
      <c r="D211" s="2">
        <v>0.28620000000000001</v>
      </c>
      <c r="E211" s="2">
        <v>422314.23639999999</v>
      </c>
      <c r="F211" s="2">
        <v>0.18310000000000001</v>
      </c>
      <c r="G211" s="2">
        <v>1677828.8603000001</v>
      </c>
      <c r="H211" s="2">
        <v>4.4400000000000002E-2</v>
      </c>
      <c r="I211" s="2">
        <v>538113.50710000005</v>
      </c>
    </row>
    <row r="212" spans="1:9" x14ac:dyDescent="0.35">
      <c r="A212" s="3" t="s">
        <v>169</v>
      </c>
      <c r="B212" s="2">
        <v>0.73599999999999999</v>
      </c>
      <c r="C212" s="2">
        <v>3045767.5038999999</v>
      </c>
      <c r="D212" s="2">
        <v>5.2200000000000003E-2</v>
      </c>
      <c r="E212" s="2">
        <v>215884.584</v>
      </c>
      <c r="F212" s="2">
        <v>0.2011</v>
      </c>
      <c r="G212" s="2">
        <v>3539165.4799000002</v>
      </c>
      <c r="H212" s="2">
        <v>1.0699999999999999E-2</v>
      </c>
      <c r="I212" s="2">
        <v>277513.39199999999</v>
      </c>
    </row>
    <row r="213" spans="1:9" x14ac:dyDescent="0.35">
      <c r="A213" s="23"/>
      <c r="B213" s="24"/>
      <c r="C213" s="24"/>
      <c r="D213" s="24"/>
      <c r="E213" s="24"/>
      <c r="F213" s="24"/>
      <c r="G213" s="24"/>
      <c r="H213" s="24"/>
      <c r="I213" s="25"/>
    </row>
    <row r="214" spans="1:9" x14ac:dyDescent="0.35">
      <c r="A214" s="2"/>
      <c r="B214" s="20" t="s">
        <v>116</v>
      </c>
      <c r="C214" s="21"/>
      <c r="D214" s="21"/>
      <c r="E214" s="21"/>
      <c r="F214" s="21"/>
      <c r="G214" s="21"/>
      <c r="H214" s="21"/>
      <c r="I214" s="22"/>
    </row>
    <row r="215" spans="1:9" x14ac:dyDescent="0.35">
      <c r="A215" s="3" t="s">
        <v>110</v>
      </c>
      <c r="B215" s="3" t="s">
        <v>88</v>
      </c>
      <c r="C215" s="3" t="s">
        <v>105</v>
      </c>
      <c r="D215" s="3" t="s">
        <v>90</v>
      </c>
      <c r="E215" s="3" t="s">
        <v>105</v>
      </c>
      <c r="F215" s="3" t="s">
        <v>91</v>
      </c>
      <c r="G215" s="3" t="s">
        <v>105</v>
      </c>
      <c r="H215" s="3" t="s">
        <v>92</v>
      </c>
      <c r="I215" s="3" t="s">
        <v>105</v>
      </c>
    </row>
    <row r="216" spans="1:9" x14ac:dyDescent="0.35">
      <c r="A216" s="3">
        <v>1</v>
      </c>
      <c r="B216" s="2">
        <v>0.95709999999999995</v>
      </c>
      <c r="C216" s="2" t="s">
        <v>11</v>
      </c>
      <c r="D216" s="2">
        <v>3.2800000000000003E-2</v>
      </c>
      <c r="E216" s="2" t="s">
        <v>11</v>
      </c>
      <c r="F216" s="2">
        <v>9.7999999999999997E-3</v>
      </c>
      <c r="G216" s="2" t="s">
        <v>11</v>
      </c>
      <c r="H216" s="2">
        <v>2.9999999999999997E-4</v>
      </c>
      <c r="I216" s="2" t="s">
        <v>11</v>
      </c>
    </row>
    <row r="217" spans="1:9" x14ac:dyDescent="0.35">
      <c r="A217" s="3">
        <v>2</v>
      </c>
      <c r="B217" s="2">
        <v>0.1784</v>
      </c>
      <c r="C217" s="2" t="s">
        <v>11</v>
      </c>
      <c r="D217" s="2">
        <v>0.74660000000000004</v>
      </c>
      <c r="E217" s="2" t="s">
        <v>11</v>
      </c>
      <c r="F217" s="2">
        <v>7.4700000000000003E-2</v>
      </c>
      <c r="G217" s="2" t="s">
        <v>11</v>
      </c>
      <c r="H217" s="2">
        <v>2.9999999999999997E-4</v>
      </c>
      <c r="I217" s="2" t="s">
        <v>11</v>
      </c>
    </row>
    <row r="218" spans="1:9" x14ac:dyDescent="0.35">
      <c r="A218" s="3">
        <v>3</v>
      </c>
      <c r="B218" s="2">
        <v>4.8599999999999997E-2</v>
      </c>
      <c r="C218" s="2" t="s">
        <v>11</v>
      </c>
      <c r="D218" s="2">
        <v>6.8199999999999997E-2</v>
      </c>
      <c r="E218" s="2" t="s">
        <v>11</v>
      </c>
      <c r="F218" s="2">
        <v>0.88229999999999997</v>
      </c>
      <c r="G218" s="2" t="s">
        <v>11</v>
      </c>
      <c r="H218" s="2">
        <v>8.0000000000000004E-4</v>
      </c>
      <c r="I218" s="2" t="s">
        <v>11</v>
      </c>
    </row>
    <row r="219" spans="1:9" x14ac:dyDescent="0.35">
      <c r="A219" s="3">
        <v>4</v>
      </c>
      <c r="B219" s="2">
        <v>0.13919999999999999</v>
      </c>
      <c r="C219" s="2" t="s">
        <v>11</v>
      </c>
      <c r="D219" s="2">
        <v>2.3300000000000001E-2</v>
      </c>
      <c r="E219" s="2" t="s">
        <v>11</v>
      </c>
      <c r="F219" s="2">
        <v>6.7699999999999996E-2</v>
      </c>
      <c r="G219" s="2" t="s">
        <v>11</v>
      </c>
      <c r="H219" s="2">
        <v>0.76980000000000004</v>
      </c>
      <c r="I219" s="2" t="s">
        <v>11</v>
      </c>
    </row>
  </sheetData>
  <mergeCells count="5">
    <mergeCell ref="A3:F3"/>
    <mergeCell ref="B69:F69"/>
    <mergeCell ref="B206:I206"/>
    <mergeCell ref="A213:I213"/>
    <mergeCell ref="B214:I214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204"/>
  <sheetViews>
    <sheetView topLeftCell="A133" workbookViewId="0"/>
  </sheetViews>
  <sheetFormatPr defaultRowHeight="14.5" x14ac:dyDescent="0.35"/>
  <cols>
    <col min="1" max="1" width="30.453125" bestFit="1" customWidth="1"/>
    <col min="2" max="2" width="12.1796875" bestFit="1" customWidth="1"/>
    <col min="3" max="4" width="8.54296875" bestFit="1" customWidth="1"/>
    <col min="5" max="5" width="8.26953125" bestFit="1" customWidth="1"/>
    <col min="6" max="6" width="8.54296875" bestFit="1" customWidth="1"/>
    <col min="7" max="7" width="7.26953125" bestFit="1" customWidth="1"/>
    <col min="8" max="8" width="8.26953125" bestFit="1" customWidth="1"/>
    <col min="9" max="9" width="6.54296875" bestFit="1" customWidth="1"/>
    <col min="10" max="10" width="7.26953125" bestFit="1" customWidth="1"/>
    <col min="11" max="11" width="8.26953125" bestFit="1" customWidth="1"/>
    <col min="12" max="12" width="6.54296875" bestFit="1" customWidth="1"/>
    <col min="13" max="13" width="7.26953125" bestFit="1" customWidth="1"/>
    <col min="14" max="14" width="7.54296875" bestFit="1" customWidth="1"/>
    <col min="15" max="15" width="8.453125" bestFit="1" customWidth="1"/>
  </cols>
  <sheetData>
    <row r="1" spans="1:6" ht="17.5" x14ac:dyDescent="0.35">
      <c r="A1" s="1" t="s">
        <v>127</v>
      </c>
    </row>
    <row r="3" spans="1:6" x14ac:dyDescent="0.35">
      <c r="A3" s="20" t="s">
        <v>0</v>
      </c>
      <c r="B3" s="21"/>
      <c r="C3" s="21"/>
      <c r="D3" s="21"/>
      <c r="E3" s="21"/>
      <c r="F3" s="22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1340</v>
      </c>
      <c r="C5" s="2"/>
      <c r="D5" s="2"/>
      <c r="E5" s="2"/>
      <c r="F5" s="2"/>
    </row>
    <row r="6" spans="1:6" x14ac:dyDescent="0.35">
      <c r="A6" s="3" t="s">
        <v>2</v>
      </c>
      <c r="B6" s="2">
        <v>6</v>
      </c>
      <c r="C6" s="2"/>
      <c r="D6" s="2"/>
      <c r="E6" s="2"/>
      <c r="F6" s="2"/>
    </row>
    <row r="7" spans="1:6" x14ac:dyDescent="0.35">
      <c r="A7" s="3" t="s">
        <v>3</v>
      </c>
      <c r="B7" s="2">
        <v>6.9572000000000003</v>
      </c>
      <c r="C7" s="2"/>
      <c r="D7" s="2"/>
      <c r="E7" s="2"/>
      <c r="F7" s="2"/>
    </row>
    <row r="8" spans="1:6" x14ac:dyDescent="0.35">
      <c r="A8" s="3" t="s">
        <v>4</v>
      </c>
      <c r="B8" s="2">
        <v>6.9572000000000003</v>
      </c>
      <c r="C8" s="2"/>
      <c r="D8" s="2"/>
      <c r="E8" s="2"/>
      <c r="F8" s="2"/>
    </row>
    <row r="9" spans="1:6" x14ac:dyDescent="0.35">
      <c r="A9" s="3" t="s">
        <v>5</v>
      </c>
      <c r="B9" s="2">
        <v>134205</v>
      </c>
      <c r="C9" s="2"/>
      <c r="D9" s="2"/>
      <c r="E9" s="2"/>
      <c r="F9" s="2"/>
    </row>
    <row r="10" spans="1:6" x14ac:dyDescent="0.35">
      <c r="A10" s="3" t="s">
        <v>6</v>
      </c>
      <c r="B10" s="2">
        <v>134205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0</v>
      </c>
      <c r="C17" s="2"/>
      <c r="D17" s="2"/>
      <c r="E17" s="2"/>
      <c r="F17" s="2"/>
    </row>
    <row r="18" spans="1:6" x14ac:dyDescent="0.35">
      <c r="A18" s="3" t="s">
        <v>15</v>
      </c>
      <c r="B18" s="2">
        <v>0</v>
      </c>
      <c r="C18" s="2"/>
      <c r="D18" s="2"/>
      <c r="E18" s="2"/>
      <c r="F18" s="2"/>
    </row>
    <row r="19" spans="1:6" x14ac:dyDescent="0.35">
      <c r="A19" s="3" t="s">
        <v>16</v>
      </c>
      <c r="B19" s="2">
        <v>0</v>
      </c>
      <c r="C19" s="2"/>
      <c r="D19" s="2"/>
      <c r="E19" s="2"/>
      <c r="F19" s="2"/>
    </row>
    <row r="20" spans="1:6" x14ac:dyDescent="0.35">
      <c r="A20" s="3" t="s">
        <v>17</v>
      </c>
      <c r="B20" s="2">
        <v>0</v>
      </c>
      <c r="C20" s="2"/>
      <c r="D20" s="2"/>
      <c r="E20" s="2"/>
      <c r="F20" s="2"/>
    </row>
    <row r="21" spans="1:6" x14ac:dyDescent="0.35">
      <c r="A21" s="3" t="s">
        <v>18</v>
      </c>
      <c r="B21" s="2">
        <v>0</v>
      </c>
      <c r="C21" s="2"/>
      <c r="D21" s="2"/>
      <c r="E21" s="2"/>
      <c r="F21" s="2"/>
    </row>
    <row r="22" spans="1:6" x14ac:dyDescent="0.35">
      <c r="A22" s="3" t="s">
        <v>19</v>
      </c>
      <c r="B22" s="2">
        <v>0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-1356.1782000000001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-1356.1782000000001</v>
      </c>
      <c r="C27" s="2"/>
      <c r="D27" s="2"/>
      <c r="E27" s="2"/>
      <c r="F27" s="2"/>
    </row>
    <row r="28" spans="1:6" x14ac:dyDescent="0.35">
      <c r="A28" s="3" t="s">
        <v>24</v>
      </c>
      <c r="B28" s="2">
        <v>2755.5589</v>
      </c>
      <c r="C28" s="2"/>
      <c r="D28" s="2"/>
      <c r="E28" s="2"/>
      <c r="F28" s="2"/>
    </row>
    <row r="29" spans="1:6" x14ac:dyDescent="0.35">
      <c r="A29" s="3" t="s">
        <v>25</v>
      </c>
      <c r="B29" s="2">
        <v>2724.3564000000001</v>
      </c>
      <c r="C29" s="2"/>
      <c r="D29" s="2"/>
      <c r="E29" s="2"/>
      <c r="F29" s="2"/>
    </row>
    <row r="30" spans="1:6" x14ac:dyDescent="0.35">
      <c r="A30" s="3" t="s">
        <v>26</v>
      </c>
      <c r="B30" s="2">
        <v>2730.3564000000001</v>
      </c>
      <c r="C30" s="2"/>
      <c r="D30" s="2"/>
      <c r="E30" s="2"/>
      <c r="F30" s="2"/>
    </row>
    <row r="31" spans="1:6" x14ac:dyDescent="0.35">
      <c r="A31" s="3" t="s">
        <v>27</v>
      </c>
      <c r="B31" s="2">
        <v>2761.5589</v>
      </c>
      <c r="C31" s="2"/>
      <c r="D31" s="2"/>
      <c r="E31" s="2"/>
      <c r="F31" s="2"/>
    </row>
    <row r="32" spans="1:6" x14ac:dyDescent="0.35">
      <c r="A32" s="3" t="s">
        <v>28</v>
      </c>
      <c r="B32" s="2">
        <v>2736.4994999999999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0.3846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1.72E-2</v>
      </c>
      <c r="C38" s="2"/>
      <c r="D38" s="2"/>
      <c r="E38" s="2"/>
      <c r="F38" s="2"/>
    </row>
    <row r="39" spans="1:6" x14ac:dyDescent="0.35">
      <c r="A39" s="3" t="s">
        <v>33</v>
      </c>
      <c r="B39" s="2">
        <v>1.17E-2</v>
      </c>
      <c r="C39" s="2"/>
      <c r="D39" s="2"/>
      <c r="E39" s="2"/>
      <c r="F39" s="2"/>
    </row>
    <row r="40" spans="1:6" x14ac:dyDescent="0.35">
      <c r="A40" s="3" t="s">
        <v>34</v>
      </c>
      <c r="B40" s="2">
        <v>-2705.8863000000001</v>
      </c>
      <c r="C40" s="2"/>
      <c r="D40" s="2"/>
      <c r="E40" s="2"/>
      <c r="F40" s="2"/>
    </row>
    <row r="41" spans="1:6" x14ac:dyDescent="0.35">
      <c r="A41" s="3" t="s">
        <v>35</v>
      </c>
      <c r="B41" s="2">
        <v>1349.7081000000001</v>
      </c>
      <c r="C41" s="2"/>
      <c r="D41" s="2"/>
      <c r="E41" s="2"/>
      <c r="F41" s="2"/>
    </row>
    <row r="42" spans="1:6" x14ac:dyDescent="0.35">
      <c r="A42" s="3" t="s">
        <v>36</v>
      </c>
      <c r="B42" s="2">
        <v>5411.7726000000002</v>
      </c>
      <c r="C42" s="2"/>
      <c r="D42" s="2"/>
      <c r="E42" s="2"/>
      <c r="F42" s="2"/>
    </row>
    <row r="43" spans="1:6" x14ac:dyDescent="0.35">
      <c r="A43" s="3" t="s">
        <v>37</v>
      </c>
      <c r="B43" s="2">
        <v>5516.1777000000002</v>
      </c>
      <c r="C43" s="2"/>
      <c r="D43" s="2"/>
      <c r="E43" s="2"/>
      <c r="F43" s="2"/>
    </row>
    <row r="44" spans="1:6" x14ac:dyDescent="0.35">
      <c r="A44" s="3" t="s">
        <v>38</v>
      </c>
      <c r="B44" s="2">
        <v>5454.9750999999997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824.6309</v>
      </c>
      <c r="C48" s="2">
        <v>0</v>
      </c>
      <c r="D48" s="2">
        <v>0</v>
      </c>
      <c r="E48" s="2">
        <v>0</v>
      </c>
      <c r="F48" s="2">
        <v>824.6309</v>
      </c>
    </row>
    <row r="49" spans="1:6" x14ac:dyDescent="0.35">
      <c r="A49" s="3" t="s">
        <v>43</v>
      </c>
      <c r="B49" s="2">
        <v>204.8777</v>
      </c>
      <c r="C49" s="2">
        <v>0</v>
      </c>
      <c r="D49" s="2">
        <v>0</v>
      </c>
      <c r="E49" s="2">
        <v>0</v>
      </c>
      <c r="F49" s="2">
        <v>204.8777</v>
      </c>
    </row>
    <row r="50" spans="1:6" x14ac:dyDescent="0.35">
      <c r="A50" s="3" t="s">
        <v>44</v>
      </c>
      <c r="B50" s="2">
        <v>262.16180000000003</v>
      </c>
      <c r="C50" s="2">
        <v>0</v>
      </c>
      <c r="D50" s="2">
        <v>0</v>
      </c>
      <c r="E50" s="2">
        <v>0</v>
      </c>
      <c r="F50" s="2">
        <v>262.16180000000003</v>
      </c>
    </row>
    <row r="51" spans="1:6" x14ac:dyDescent="0.35">
      <c r="A51" s="3" t="s">
        <v>45</v>
      </c>
      <c r="B51" s="2">
        <v>48.329599999999999</v>
      </c>
      <c r="C51" s="2">
        <v>0</v>
      </c>
      <c r="D51" s="2">
        <v>0</v>
      </c>
      <c r="E51" s="2">
        <v>0</v>
      </c>
      <c r="F51" s="2">
        <v>48.329599999999999</v>
      </c>
    </row>
    <row r="52" spans="1:6" x14ac:dyDescent="0.35">
      <c r="A52" s="3" t="s">
        <v>46</v>
      </c>
      <c r="B52" s="2">
        <v>1340</v>
      </c>
      <c r="C52" s="2">
        <v>0</v>
      </c>
      <c r="D52" s="2">
        <v>0</v>
      </c>
      <c r="E52" s="2">
        <v>0</v>
      </c>
      <c r="F52" s="2">
        <v>1340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511.87849999999997</v>
      </c>
      <c r="C56" s="2">
        <v>126.87439999999999</v>
      </c>
      <c r="D56" s="2">
        <v>157.12870000000001</v>
      </c>
      <c r="E56" s="2">
        <v>28.749400000000001</v>
      </c>
      <c r="F56" s="2">
        <v>824.6309</v>
      </c>
    </row>
    <row r="57" spans="1:6" x14ac:dyDescent="0.35">
      <c r="A57" s="3" t="s">
        <v>43</v>
      </c>
      <c r="B57" s="2">
        <v>126.87439999999999</v>
      </c>
      <c r="C57" s="2">
        <v>31.467500000000001</v>
      </c>
      <c r="D57" s="2">
        <v>39.325400000000002</v>
      </c>
      <c r="E57" s="2">
        <v>7.2104999999999997</v>
      </c>
      <c r="F57" s="2">
        <v>204.8777</v>
      </c>
    </row>
    <row r="58" spans="1:6" x14ac:dyDescent="0.35">
      <c r="A58" s="3" t="s">
        <v>44</v>
      </c>
      <c r="B58" s="2">
        <v>157.12870000000001</v>
      </c>
      <c r="C58" s="2">
        <v>39.325400000000002</v>
      </c>
      <c r="D58" s="2">
        <v>55.304699999999997</v>
      </c>
      <c r="E58" s="2">
        <v>10.403</v>
      </c>
      <c r="F58" s="2">
        <v>262.16180000000003</v>
      </c>
    </row>
    <row r="59" spans="1:6" x14ac:dyDescent="0.35">
      <c r="A59" s="3" t="s">
        <v>45</v>
      </c>
      <c r="B59" s="2">
        <v>28.749400000000001</v>
      </c>
      <c r="C59" s="2">
        <v>7.2104999999999997</v>
      </c>
      <c r="D59" s="2">
        <v>10.403</v>
      </c>
      <c r="E59" s="2">
        <v>1.9668000000000001</v>
      </c>
      <c r="F59" s="2">
        <v>48.329599999999999</v>
      </c>
    </row>
    <row r="60" spans="1:6" x14ac:dyDescent="0.35">
      <c r="A60" s="3" t="s">
        <v>46</v>
      </c>
      <c r="B60" s="2">
        <v>824.6309</v>
      </c>
      <c r="C60" s="2">
        <v>204.8777</v>
      </c>
      <c r="D60" s="2">
        <v>262.16180000000003</v>
      </c>
      <c r="E60" s="2">
        <v>48.329599999999999</v>
      </c>
      <c r="F60" s="2">
        <v>1340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0.3846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1.72E-2</v>
      </c>
      <c r="C65" s="2"/>
      <c r="D65" s="2"/>
      <c r="E65" s="2"/>
      <c r="F65" s="2"/>
    </row>
    <row r="66" spans="1:6" x14ac:dyDescent="0.35">
      <c r="A66" s="3" t="s">
        <v>33</v>
      </c>
      <c r="B66" s="2">
        <v>1.17E-2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23" t="s">
        <v>178</v>
      </c>
      <c r="C69" s="24"/>
      <c r="D69" s="24"/>
      <c r="E69" s="24"/>
      <c r="F69" s="25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52</v>
      </c>
      <c r="B71" s="2"/>
      <c r="C71" s="2"/>
      <c r="D71" s="2"/>
      <c r="E71" s="2"/>
      <c r="F71" s="2"/>
    </row>
    <row r="72" spans="1:6" x14ac:dyDescent="0.35">
      <c r="A72" s="3" t="s">
        <v>53</v>
      </c>
      <c r="B72" s="2">
        <v>4</v>
      </c>
      <c r="C72" s="2"/>
      <c r="D72" s="2"/>
      <c r="E72" s="2"/>
      <c r="F72" s="2"/>
    </row>
    <row r="73" spans="1:6" x14ac:dyDescent="0.35">
      <c r="A73" s="3" t="s">
        <v>54</v>
      </c>
      <c r="B73" s="2"/>
      <c r="C73" s="2"/>
      <c r="D73" s="2"/>
      <c r="E73" s="2"/>
      <c r="F73" s="2"/>
    </row>
    <row r="74" spans="1:6" x14ac:dyDescent="0.35">
      <c r="A74" s="3" t="s">
        <v>55</v>
      </c>
      <c r="B74" s="4">
        <v>1E-8</v>
      </c>
      <c r="C74" s="2"/>
      <c r="D74" s="2"/>
      <c r="E74" s="2"/>
      <c r="F74" s="2"/>
    </row>
    <row r="75" spans="1:6" x14ac:dyDescent="0.35">
      <c r="A75" s="3" t="s">
        <v>56</v>
      </c>
      <c r="B75" s="2">
        <v>0.01</v>
      </c>
      <c r="C75" s="2"/>
      <c r="D75" s="2"/>
      <c r="E75" s="2"/>
      <c r="F75" s="2"/>
    </row>
    <row r="76" spans="1:6" x14ac:dyDescent="0.35">
      <c r="A76" s="3" t="s">
        <v>57</v>
      </c>
      <c r="B76" s="2">
        <v>250</v>
      </c>
      <c r="C76" s="2"/>
      <c r="D76" s="2"/>
      <c r="E76" s="2"/>
      <c r="F76" s="2"/>
    </row>
    <row r="77" spans="1:6" x14ac:dyDescent="0.35">
      <c r="A77" s="3" t="s">
        <v>58</v>
      </c>
      <c r="B77" s="2">
        <v>50</v>
      </c>
      <c r="C77" s="2"/>
      <c r="D77" s="2"/>
      <c r="E77" s="2"/>
      <c r="F77" s="2"/>
    </row>
    <row r="78" spans="1:6" x14ac:dyDescent="0.35">
      <c r="A78" s="3" t="s">
        <v>59</v>
      </c>
      <c r="B78" s="2"/>
      <c r="C78" s="2"/>
      <c r="D78" s="2"/>
      <c r="E78" s="2"/>
      <c r="F78" s="2"/>
    </row>
    <row r="79" spans="1:6" x14ac:dyDescent="0.35">
      <c r="A79" s="3" t="s">
        <v>60</v>
      </c>
      <c r="B79" s="2">
        <v>134205</v>
      </c>
      <c r="C79" s="2"/>
      <c r="D79" s="2"/>
      <c r="E79" s="2"/>
      <c r="F79" s="2"/>
    </row>
    <row r="80" spans="1:6" x14ac:dyDescent="0.35">
      <c r="A80" s="3" t="s">
        <v>61</v>
      </c>
      <c r="B80" s="2">
        <v>0</v>
      </c>
      <c r="C80" s="2"/>
      <c r="D80" s="2"/>
      <c r="E80" s="2"/>
      <c r="F80" s="2"/>
    </row>
    <row r="81" spans="1:6" x14ac:dyDescent="0.3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62</v>
      </c>
      <c r="B82" s="2">
        <v>150</v>
      </c>
      <c r="C82" s="2"/>
      <c r="D82" s="2"/>
      <c r="E82" s="2"/>
      <c r="F82" s="2"/>
    </row>
    <row r="83" spans="1:6" x14ac:dyDescent="0.35">
      <c r="A83" s="3" t="s">
        <v>63</v>
      </c>
      <c r="B83" s="2"/>
      <c r="C83" s="2"/>
      <c r="D83" s="2"/>
      <c r="E83" s="2"/>
      <c r="F83" s="2"/>
    </row>
    <row r="84" spans="1:6" x14ac:dyDescent="0.35">
      <c r="A84" s="3" t="s">
        <v>64</v>
      </c>
      <c r="B84" s="2">
        <v>1</v>
      </c>
      <c r="C84" s="2"/>
      <c r="D84" s="2"/>
      <c r="E84" s="2"/>
      <c r="F84" s="2"/>
    </row>
    <row r="85" spans="1:6" x14ac:dyDescent="0.35">
      <c r="A85" s="3" t="s">
        <v>65</v>
      </c>
      <c r="B85" s="2">
        <v>1</v>
      </c>
      <c r="C85" s="2"/>
      <c r="D85" s="2"/>
      <c r="E85" s="2"/>
      <c r="F85" s="2"/>
    </row>
    <row r="86" spans="1:6" x14ac:dyDescent="0.35">
      <c r="A86" s="3" t="s">
        <v>66</v>
      </c>
      <c r="B86" s="2">
        <v>0</v>
      </c>
      <c r="C86" s="2"/>
      <c r="D86" s="2"/>
      <c r="E86" s="2"/>
      <c r="F86" s="2"/>
    </row>
    <row r="87" spans="1:6" x14ac:dyDescent="0.35">
      <c r="A87" s="3" t="s">
        <v>67</v>
      </c>
      <c r="B87" s="2">
        <v>1</v>
      </c>
      <c r="C87" s="2"/>
      <c r="D87" s="2"/>
      <c r="E87" s="2"/>
      <c r="F87" s="2"/>
    </row>
    <row r="88" spans="1:6" x14ac:dyDescent="0.35">
      <c r="A88" s="3" t="s">
        <v>68</v>
      </c>
      <c r="B88" s="2"/>
      <c r="C88" s="2"/>
      <c r="D88" s="2"/>
      <c r="E88" s="2"/>
      <c r="F88" s="2"/>
    </row>
    <row r="89" spans="1:6" x14ac:dyDescent="0.35">
      <c r="A89" s="3" t="s">
        <v>69</v>
      </c>
      <c r="B89" s="2">
        <v>10</v>
      </c>
      <c r="C89" s="2"/>
      <c r="D89" s="2"/>
      <c r="E89" s="2"/>
      <c r="F89" s="2"/>
    </row>
    <row r="90" spans="1:6" x14ac:dyDescent="0.3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35">
      <c r="A91" s="3" t="s">
        <v>72</v>
      </c>
      <c r="B91" s="2"/>
      <c r="C91" s="2"/>
      <c r="D91" s="2"/>
      <c r="E91" s="2"/>
      <c r="F91" s="2"/>
    </row>
    <row r="92" spans="1:6" x14ac:dyDescent="0.3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3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3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35">
      <c r="A95" s="3" t="s">
        <v>79</v>
      </c>
      <c r="B95" s="2"/>
      <c r="C95" s="2"/>
      <c r="D95" s="2"/>
      <c r="E95" s="2"/>
      <c r="F95" s="2"/>
    </row>
    <row r="96" spans="1:6" x14ac:dyDescent="0.3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3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35">
      <c r="A98" s="3" t="s">
        <v>84</v>
      </c>
      <c r="B98" s="2">
        <v>1340</v>
      </c>
      <c r="C98" s="2"/>
      <c r="D98" s="2"/>
      <c r="E98" s="2"/>
      <c r="F98" s="2"/>
    </row>
    <row r="99" spans="1:6" x14ac:dyDescent="0.3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86</v>
      </c>
      <c r="B101" s="2"/>
      <c r="C101" s="2"/>
      <c r="D101" s="2"/>
      <c r="E101" s="2"/>
      <c r="F101" s="2"/>
    </row>
    <row r="102" spans="1:6" x14ac:dyDescent="0.35">
      <c r="A102" s="3" t="s">
        <v>87</v>
      </c>
      <c r="B102" s="2"/>
      <c r="C102" s="2"/>
      <c r="D102" s="2"/>
      <c r="E102" s="2"/>
      <c r="F102" s="2"/>
    </row>
    <row r="103" spans="1:6" x14ac:dyDescent="0.35">
      <c r="A103" s="3" t="s">
        <v>88</v>
      </c>
      <c r="B103" s="2"/>
      <c r="C103" s="2">
        <v>148</v>
      </c>
      <c r="D103" s="2"/>
      <c r="E103" s="2"/>
      <c r="F103" s="2"/>
    </row>
    <row r="104" spans="1:6" x14ac:dyDescent="0.35">
      <c r="A104" s="5">
        <v>3.8780000000000001E-8</v>
      </c>
      <c r="B104" s="4">
        <v>3.8780520999999998E-8</v>
      </c>
      <c r="C104" s="2"/>
      <c r="D104" s="2"/>
      <c r="E104" s="2"/>
      <c r="F104" s="2"/>
    </row>
    <row r="105" spans="1:6" x14ac:dyDescent="0.35">
      <c r="A105" s="5">
        <v>9.9890000000000008E-7</v>
      </c>
      <c r="B105" s="4">
        <v>9.9887677999999992E-7</v>
      </c>
      <c r="C105" s="2"/>
      <c r="D105" s="2"/>
      <c r="E105" s="2"/>
      <c r="F105" s="2"/>
    </row>
    <row r="106" spans="1:6" x14ac:dyDescent="0.35">
      <c r="A106" s="5">
        <v>2.6970000000000002E-6</v>
      </c>
      <c r="B106" s="4">
        <v>2.6972033999999998E-6</v>
      </c>
      <c r="C106" s="2"/>
      <c r="D106" s="2"/>
      <c r="E106" s="2"/>
      <c r="F106" s="2"/>
    </row>
    <row r="107" spans="1:6" x14ac:dyDescent="0.35">
      <c r="A107" s="5">
        <v>4.4159999999999997E-5</v>
      </c>
      <c r="B107" s="4">
        <v>4.4157599000000003E-5</v>
      </c>
      <c r="C107" s="2"/>
      <c r="D107" s="2"/>
      <c r="E107" s="2"/>
      <c r="F107" s="2"/>
    </row>
    <row r="108" spans="1:6" x14ac:dyDescent="0.35">
      <c r="A108" s="3" t="s">
        <v>89</v>
      </c>
      <c r="B108" s="2"/>
      <c r="C108" s="2"/>
      <c r="D108" s="2"/>
      <c r="E108" s="2"/>
      <c r="F108" s="2"/>
    </row>
    <row r="109" spans="1:6" x14ac:dyDescent="0.35">
      <c r="A109" s="3">
        <v>0.99970000000000003</v>
      </c>
      <c r="B109" s="2">
        <v>0.99974249999999998</v>
      </c>
      <c r="C109" s="2"/>
      <c r="D109" s="2"/>
      <c r="E109" s="2"/>
      <c r="F109" s="2"/>
    </row>
    <row r="110" spans="1:6" x14ac:dyDescent="0.35">
      <c r="A110" s="3">
        <v>0.99970000000000003</v>
      </c>
      <c r="B110" s="2">
        <v>0.99974262999999997</v>
      </c>
      <c r="C110" s="2"/>
      <c r="D110" s="2"/>
      <c r="E110" s="2"/>
      <c r="F110" s="2"/>
    </row>
    <row r="111" spans="1:6" x14ac:dyDescent="0.35">
      <c r="A111" s="3">
        <v>0.99990000000000001</v>
      </c>
      <c r="B111" s="2">
        <v>0.99988560000000004</v>
      </c>
      <c r="C111" s="2"/>
      <c r="D111" s="2"/>
      <c r="E111" s="2"/>
      <c r="F111" s="2"/>
    </row>
    <row r="112" spans="1:6" x14ac:dyDescent="0.35">
      <c r="A112" s="3" t="s">
        <v>90</v>
      </c>
      <c r="B112" s="2"/>
      <c r="C112" s="2">
        <v>148</v>
      </c>
      <c r="D112" s="2"/>
      <c r="E112" s="2"/>
      <c r="F112" s="2"/>
    </row>
    <row r="113" spans="1:6" x14ac:dyDescent="0.35">
      <c r="A113" s="5">
        <v>7.8660000000000006E-12</v>
      </c>
      <c r="B113" s="4">
        <v>7.8660149999999996E-12</v>
      </c>
      <c r="C113" s="2"/>
      <c r="D113" s="2"/>
      <c r="E113" s="2"/>
      <c r="F113" s="2"/>
    </row>
    <row r="114" spans="1:6" x14ac:dyDescent="0.35">
      <c r="A114" s="5">
        <v>3.5539999999999998E-10</v>
      </c>
      <c r="B114" s="4">
        <v>3.5542244000000001E-10</v>
      </c>
      <c r="C114" s="2"/>
      <c r="D114" s="2"/>
      <c r="E114" s="2"/>
      <c r="F114" s="2"/>
    </row>
    <row r="115" spans="1:6" x14ac:dyDescent="0.35">
      <c r="A115" s="5">
        <v>1.164E-8</v>
      </c>
      <c r="B115" s="4">
        <v>1.1639567E-8</v>
      </c>
      <c r="C115" s="2"/>
      <c r="D115" s="2"/>
      <c r="E115" s="2"/>
      <c r="F115" s="2"/>
    </row>
    <row r="116" spans="1:6" x14ac:dyDescent="0.35">
      <c r="A116" s="5">
        <v>1.9329999999999998E-8</v>
      </c>
      <c r="B116" s="4">
        <v>1.9327516000000001E-8</v>
      </c>
      <c r="C116" s="2"/>
      <c r="D116" s="2"/>
      <c r="E116" s="2"/>
      <c r="F116" s="2"/>
    </row>
    <row r="117" spans="1:6" x14ac:dyDescent="0.35">
      <c r="A117" s="3" t="s">
        <v>89</v>
      </c>
      <c r="B117" s="2"/>
      <c r="C117" s="2"/>
      <c r="D117" s="2"/>
      <c r="E117" s="2"/>
      <c r="F117" s="2"/>
    </row>
    <row r="118" spans="1:6" x14ac:dyDescent="0.35">
      <c r="A118" s="3">
        <v>0.99990000000000001</v>
      </c>
      <c r="B118" s="2">
        <v>0.99992400999999997</v>
      </c>
      <c r="C118" s="2"/>
      <c r="D118" s="2"/>
      <c r="E118" s="2"/>
      <c r="F118" s="2"/>
    </row>
    <row r="119" spans="1:6" x14ac:dyDescent="0.35">
      <c r="A119" s="3">
        <v>1</v>
      </c>
      <c r="B119" s="2">
        <v>0.99999696999999999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0.99999895999999999</v>
      </c>
      <c r="C120" s="2"/>
      <c r="D120" s="2"/>
      <c r="E120" s="2"/>
      <c r="F120" s="2"/>
    </row>
    <row r="121" spans="1:6" x14ac:dyDescent="0.35">
      <c r="A121" s="3" t="s">
        <v>91</v>
      </c>
      <c r="B121" s="2"/>
      <c r="C121" s="2">
        <v>148</v>
      </c>
      <c r="D121" s="2"/>
      <c r="E121" s="2"/>
      <c r="F121" s="2"/>
    </row>
    <row r="122" spans="1:6" x14ac:dyDescent="0.35">
      <c r="A122" s="5">
        <v>9.7920000000000009E-10</v>
      </c>
      <c r="B122" s="4">
        <v>9.7918018999999994E-10</v>
      </c>
      <c r="C122" s="2"/>
      <c r="D122" s="2"/>
      <c r="E122" s="2"/>
      <c r="F122" s="2"/>
    </row>
    <row r="123" spans="1:6" x14ac:dyDescent="0.35">
      <c r="A123" s="5">
        <v>1.5529999999999999E-9</v>
      </c>
      <c r="B123" s="4">
        <v>1.5526107999999999E-9</v>
      </c>
      <c r="C123" s="2"/>
      <c r="D123" s="2"/>
      <c r="E123" s="2"/>
      <c r="F123" s="2"/>
    </row>
    <row r="124" spans="1:6" x14ac:dyDescent="0.35">
      <c r="A124" s="5">
        <v>5.8610000000000003E-9</v>
      </c>
      <c r="B124" s="4">
        <v>5.8605541999999997E-9</v>
      </c>
      <c r="C124" s="2"/>
      <c r="D124" s="2"/>
      <c r="E124" s="2"/>
      <c r="F124" s="2"/>
    </row>
    <row r="125" spans="1:6" x14ac:dyDescent="0.35">
      <c r="A125" s="5">
        <v>3.9309999999999999E-8</v>
      </c>
      <c r="B125" s="4">
        <v>3.9306166000000001E-8</v>
      </c>
      <c r="C125" s="2"/>
      <c r="D125" s="2"/>
      <c r="E125" s="2"/>
      <c r="F125" s="2"/>
    </row>
    <row r="126" spans="1:6" x14ac:dyDescent="0.35">
      <c r="A126" s="3" t="s">
        <v>89</v>
      </c>
      <c r="B126" s="2"/>
      <c r="C126" s="2"/>
      <c r="D126" s="2"/>
      <c r="E126" s="2"/>
      <c r="F126" s="2"/>
    </row>
    <row r="127" spans="1:6" x14ac:dyDescent="0.35">
      <c r="A127" s="3">
        <v>0.99870000000000003</v>
      </c>
      <c r="B127" s="2">
        <v>0.99874737999999996</v>
      </c>
      <c r="C127" s="2"/>
      <c r="D127" s="2"/>
      <c r="E127" s="2"/>
      <c r="F127" s="2"/>
    </row>
    <row r="128" spans="1:6" x14ac:dyDescent="0.35">
      <c r="A128" s="3">
        <v>0.99880000000000002</v>
      </c>
      <c r="B128" s="2">
        <v>0.99880155000000004</v>
      </c>
      <c r="C128" s="2"/>
      <c r="D128" s="2"/>
      <c r="E128" s="2"/>
      <c r="F128" s="2"/>
    </row>
    <row r="129" spans="1:6" x14ac:dyDescent="0.35">
      <c r="A129" s="3">
        <v>0.99990000000000001</v>
      </c>
      <c r="B129" s="2">
        <v>0.99991662000000003</v>
      </c>
      <c r="C129" s="2"/>
      <c r="D129" s="2"/>
      <c r="E129" s="2"/>
      <c r="F129" s="2"/>
    </row>
    <row r="130" spans="1:6" x14ac:dyDescent="0.35">
      <c r="A130" s="3" t="s">
        <v>92</v>
      </c>
      <c r="B130" s="2"/>
      <c r="C130" s="2">
        <v>148</v>
      </c>
      <c r="D130" s="2"/>
      <c r="E130" s="2"/>
      <c r="F130" s="2"/>
    </row>
    <row r="131" spans="1:6" x14ac:dyDescent="0.35">
      <c r="A131" s="5">
        <v>2.1870000000000001E-16</v>
      </c>
      <c r="B131" s="4">
        <v>2.1865281E-16</v>
      </c>
      <c r="C131" s="2"/>
      <c r="D131" s="2"/>
      <c r="E131" s="2"/>
      <c r="F131" s="2"/>
    </row>
    <row r="132" spans="1:6" x14ac:dyDescent="0.35">
      <c r="A132" s="5">
        <v>6.0310000000000004E-15</v>
      </c>
      <c r="B132" s="4">
        <v>6.0305523999999997E-15</v>
      </c>
      <c r="C132" s="2"/>
      <c r="D132" s="2"/>
      <c r="E132" s="2"/>
      <c r="F132" s="2"/>
    </row>
    <row r="133" spans="1:6" x14ac:dyDescent="0.35">
      <c r="A133" s="5">
        <v>9.4009999999999995E-14</v>
      </c>
      <c r="B133" s="4">
        <v>9.4009730999999999E-14</v>
      </c>
      <c r="C133" s="2"/>
      <c r="D133" s="2"/>
      <c r="E133" s="2"/>
      <c r="F133" s="2"/>
    </row>
    <row r="134" spans="1:6" x14ac:dyDescent="0.35">
      <c r="A134" s="5">
        <v>4.0920000000000001E-13</v>
      </c>
      <c r="B134" s="4">
        <v>4.0921482999999998E-13</v>
      </c>
      <c r="C134" s="2"/>
      <c r="D134" s="2"/>
      <c r="E134" s="2"/>
      <c r="F134" s="2"/>
    </row>
    <row r="135" spans="1:6" x14ac:dyDescent="0.35">
      <c r="A135" s="3" t="s">
        <v>89</v>
      </c>
      <c r="B135" s="2"/>
      <c r="C135" s="2"/>
      <c r="D135" s="2"/>
      <c r="E135" s="2"/>
      <c r="F135" s="2"/>
    </row>
    <row r="136" spans="1:6" x14ac:dyDescent="0.35">
      <c r="A136" s="3">
        <v>0.97109999999999996</v>
      </c>
      <c r="B136" s="2">
        <v>0.97108534999999996</v>
      </c>
      <c r="C136" s="2"/>
      <c r="D136" s="2"/>
      <c r="E136" s="2"/>
      <c r="F136" s="2"/>
    </row>
    <row r="137" spans="1:6" x14ac:dyDescent="0.35">
      <c r="A137" s="3">
        <v>0.97760000000000002</v>
      </c>
      <c r="B137" s="2">
        <v>0.97759384000000005</v>
      </c>
      <c r="C137" s="2"/>
      <c r="D137" s="2"/>
      <c r="E137" s="2"/>
      <c r="F137" s="2"/>
    </row>
    <row r="138" spans="1:6" x14ac:dyDescent="0.3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35">
      <c r="A139" s="3" t="s">
        <v>93</v>
      </c>
      <c r="B139" s="2"/>
      <c r="C139" s="2"/>
      <c r="D139" s="2"/>
      <c r="E139" s="2"/>
      <c r="F139" s="2"/>
    </row>
    <row r="140" spans="1:6" x14ac:dyDescent="0.35">
      <c r="A140" s="3" t="s">
        <v>150</v>
      </c>
      <c r="B140" s="2" t="s">
        <v>95</v>
      </c>
      <c r="C140" s="2">
        <v>2</v>
      </c>
      <c r="D140" s="2"/>
      <c r="E140" s="2"/>
      <c r="F140" s="2"/>
    </row>
    <row r="141" spans="1:6" x14ac:dyDescent="0.35">
      <c r="A141" s="3" t="s">
        <v>155</v>
      </c>
      <c r="B141" s="2" t="s">
        <v>155</v>
      </c>
      <c r="C141" s="2"/>
      <c r="D141" s="2"/>
      <c r="E141" s="2"/>
      <c r="F141" s="2"/>
    </row>
    <row r="142" spans="1:6" x14ac:dyDescent="0.35">
      <c r="A142" s="3" t="s">
        <v>164</v>
      </c>
      <c r="B142" s="2" t="s">
        <v>164</v>
      </c>
      <c r="C142" s="2"/>
      <c r="D142" s="2"/>
      <c r="E142" s="2"/>
      <c r="F142" s="2"/>
    </row>
    <row r="144" spans="1:6" ht="17.5" x14ac:dyDescent="0.35">
      <c r="A144" s="1" t="s">
        <v>102</v>
      </c>
    </row>
    <row r="146" spans="1:16" x14ac:dyDescent="0.35">
      <c r="A146" s="3" t="s">
        <v>103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35">
      <c r="A147" s="3" t="s">
        <v>104</v>
      </c>
      <c r="B147" s="3" t="s">
        <v>42</v>
      </c>
      <c r="C147" s="3" t="s">
        <v>105</v>
      </c>
      <c r="D147" s="3" t="s">
        <v>123</v>
      </c>
      <c r="E147" s="3" t="s">
        <v>43</v>
      </c>
      <c r="F147" s="3" t="s">
        <v>105</v>
      </c>
      <c r="G147" s="3" t="s">
        <v>123</v>
      </c>
      <c r="H147" s="3" t="s">
        <v>44</v>
      </c>
      <c r="I147" s="3" t="s">
        <v>105</v>
      </c>
      <c r="J147" s="3" t="s">
        <v>123</v>
      </c>
      <c r="K147" s="3" t="s">
        <v>45</v>
      </c>
      <c r="L147" s="3" t="s">
        <v>105</v>
      </c>
      <c r="M147" s="3" t="s">
        <v>123</v>
      </c>
      <c r="N147" s="3" t="s">
        <v>106</v>
      </c>
      <c r="O147" s="3" t="s">
        <v>9</v>
      </c>
      <c r="P147" s="2"/>
    </row>
    <row r="148" spans="1:16" x14ac:dyDescent="0.35">
      <c r="A148" s="3"/>
      <c r="B148" s="2">
        <v>2.0731000000000002</v>
      </c>
      <c r="C148" s="2">
        <v>0.4793</v>
      </c>
      <c r="D148" s="2">
        <v>4.3257000000000003</v>
      </c>
      <c r="E148" s="2">
        <v>0.65649999999999997</v>
      </c>
      <c r="F148" s="2">
        <v>0.50790000000000002</v>
      </c>
      <c r="G148" s="2">
        <v>1.2927</v>
      </c>
      <c r="H148" s="2">
        <v>0.14680000000000001</v>
      </c>
      <c r="I148" s="2">
        <v>0.53659999999999997</v>
      </c>
      <c r="J148" s="2">
        <v>0.27350000000000002</v>
      </c>
      <c r="K148" s="2">
        <v>-2.8763999999999998</v>
      </c>
      <c r="L148" s="2">
        <v>1.3879999999999999</v>
      </c>
      <c r="M148" s="2">
        <v>-2.0722999999999998</v>
      </c>
      <c r="N148" s="2">
        <v>64.933599999999998</v>
      </c>
      <c r="O148" s="4">
        <v>5.1999999999999999E-14</v>
      </c>
      <c r="P148" s="2"/>
    </row>
    <row r="149" spans="1:16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35">
      <c r="A150" s="3" t="s">
        <v>107</v>
      </c>
      <c r="B150" s="3" t="s">
        <v>42</v>
      </c>
      <c r="C150" s="3" t="s">
        <v>105</v>
      </c>
      <c r="D150" s="3" t="s">
        <v>123</v>
      </c>
      <c r="E150" s="3" t="s">
        <v>43</v>
      </c>
      <c r="F150" s="3" t="s">
        <v>105</v>
      </c>
      <c r="G150" s="3" t="s">
        <v>123</v>
      </c>
      <c r="H150" s="3" t="s">
        <v>44</v>
      </c>
      <c r="I150" s="3" t="s">
        <v>105</v>
      </c>
      <c r="J150" s="3" t="s">
        <v>123</v>
      </c>
      <c r="K150" s="3" t="s">
        <v>45</v>
      </c>
      <c r="L150" s="3" t="s">
        <v>105</v>
      </c>
      <c r="M150" s="3" t="s">
        <v>123</v>
      </c>
      <c r="N150" s="3" t="s">
        <v>106</v>
      </c>
      <c r="O150" s="3" t="s">
        <v>9</v>
      </c>
      <c r="P150" s="2"/>
    </row>
    <row r="151" spans="1:16" x14ac:dyDescent="0.35">
      <c r="A151" s="3" t="s">
        <v>150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35">
      <c r="A152" s="3" t="s">
        <v>155</v>
      </c>
      <c r="B152" s="2">
        <v>0.80379999999999996</v>
      </c>
      <c r="C152" s="2">
        <v>0.47939999999999999</v>
      </c>
      <c r="D152" s="2">
        <v>1.6766000000000001</v>
      </c>
      <c r="E152" s="2">
        <v>0.77010000000000001</v>
      </c>
      <c r="F152" s="2">
        <v>0.50800000000000001</v>
      </c>
      <c r="G152" s="2">
        <v>1.5159</v>
      </c>
      <c r="H152" s="2">
        <v>-0.108</v>
      </c>
      <c r="I152" s="2">
        <v>0.53669999999999995</v>
      </c>
      <c r="J152" s="2">
        <v>-0.20130000000000001</v>
      </c>
      <c r="K152" s="2">
        <v>-1.4659</v>
      </c>
      <c r="L152" s="2">
        <v>1.3883000000000001</v>
      </c>
      <c r="M152" s="2">
        <v>-1.0559000000000001</v>
      </c>
      <c r="N152" s="2">
        <v>9.9837000000000007</v>
      </c>
      <c r="O152" s="2">
        <v>1.9E-2</v>
      </c>
      <c r="P152" s="2"/>
    </row>
    <row r="153" spans="1:16" x14ac:dyDescent="0.35">
      <c r="A153" s="3" t="s">
        <v>164</v>
      </c>
      <c r="B153" s="2">
        <v>-0.80379999999999996</v>
      </c>
      <c r="C153" s="2">
        <v>0.47939999999999999</v>
      </c>
      <c r="D153" s="2">
        <v>-1.6766000000000001</v>
      </c>
      <c r="E153" s="2">
        <v>-0.77010000000000001</v>
      </c>
      <c r="F153" s="2">
        <v>0.50800000000000001</v>
      </c>
      <c r="G153" s="2">
        <v>-1.5159</v>
      </c>
      <c r="H153" s="2">
        <v>0.108</v>
      </c>
      <c r="I153" s="2">
        <v>0.53669999999999995</v>
      </c>
      <c r="J153" s="2">
        <v>0.20130000000000001</v>
      </c>
      <c r="K153" s="2">
        <v>1.4659</v>
      </c>
      <c r="L153" s="2">
        <v>1.3883000000000001</v>
      </c>
      <c r="M153" s="2">
        <v>1.0559000000000001</v>
      </c>
      <c r="N153" s="2"/>
      <c r="O153" s="2"/>
      <c r="P153" s="2"/>
    </row>
    <row r="154" spans="1:16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7.5" x14ac:dyDescent="0.35">
      <c r="A156" s="1" t="s">
        <v>108</v>
      </c>
    </row>
    <row r="158" spans="1:16" x14ac:dyDescent="0.35">
      <c r="A158" s="3" t="s">
        <v>103</v>
      </c>
      <c r="B158" s="3"/>
      <c r="C158" s="3"/>
      <c r="D158" s="3" t="s">
        <v>106</v>
      </c>
      <c r="E158" s="3" t="s">
        <v>109</v>
      </c>
      <c r="F158" s="3" t="s">
        <v>9</v>
      </c>
    </row>
    <row r="159" spans="1:16" x14ac:dyDescent="0.35">
      <c r="A159" s="3" t="s">
        <v>104</v>
      </c>
      <c r="B159" s="2"/>
      <c r="C159" s="2"/>
      <c r="D159" s="2"/>
      <c r="E159" s="2"/>
      <c r="F159" s="2"/>
    </row>
    <row r="160" spans="1:16" x14ac:dyDescent="0.35">
      <c r="A160" s="3" t="s">
        <v>110</v>
      </c>
      <c r="B160" s="3">
        <v>1</v>
      </c>
      <c r="C160" s="3">
        <v>2</v>
      </c>
      <c r="D160" s="2">
        <v>20.473299999999998</v>
      </c>
      <c r="E160" s="2">
        <v>1</v>
      </c>
      <c r="F160" s="4">
        <v>6.0000000000000002E-6</v>
      </c>
    </row>
    <row r="161" spans="1:9" x14ac:dyDescent="0.35">
      <c r="A161" s="3" t="s">
        <v>110</v>
      </c>
      <c r="B161" s="3">
        <v>1</v>
      </c>
      <c r="C161" s="3">
        <v>3</v>
      </c>
      <c r="D161" s="2">
        <v>37.117600000000003</v>
      </c>
      <c r="E161" s="2">
        <v>1</v>
      </c>
      <c r="F161" s="4">
        <v>1.0999999999999999E-9</v>
      </c>
    </row>
    <row r="162" spans="1:9" x14ac:dyDescent="0.35">
      <c r="A162" s="3" t="s">
        <v>110</v>
      </c>
      <c r="B162" s="3">
        <v>1</v>
      </c>
      <c r="C162" s="3">
        <v>4</v>
      </c>
      <c r="D162" s="2">
        <v>7.1566999999999998</v>
      </c>
      <c r="E162" s="2">
        <v>1</v>
      </c>
      <c r="F162" s="2">
        <v>7.4999999999999997E-3</v>
      </c>
    </row>
    <row r="163" spans="1:9" x14ac:dyDescent="0.35">
      <c r="A163" s="3" t="s">
        <v>110</v>
      </c>
      <c r="B163" s="3">
        <v>2</v>
      </c>
      <c r="C163" s="3">
        <v>3</v>
      </c>
      <c r="D163" s="2">
        <v>1.2861</v>
      </c>
      <c r="E163" s="2">
        <v>1</v>
      </c>
      <c r="F163" s="2">
        <v>0.26</v>
      </c>
    </row>
    <row r="164" spans="1:9" x14ac:dyDescent="0.35">
      <c r="A164" s="3" t="s">
        <v>110</v>
      </c>
      <c r="B164" s="3">
        <v>2</v>
      </c>
      <c r="C164" s="3">
        <v>4</v>
      </c>
      <c r="D164" s="2">
        <v>3.6347999999999998</v>
      </c>
      <c r="E164" s="2">
        <v>1</v>
      </c>
      <c r="F164" s="2">
        <v>5.7000000000000002E-2</v>
      </c>
    </row>
    <row r="165" spans="1:9" x14ac:dyDescent="0.35">
      <c r="A165" s="3" t="s">
        <v>110</v>
      </c>
      <c r="B165" s="3">
        <v>3</v>
      </c>
      <c r="C165" s="3">
        <v>4</v>
      </c>
      <c r="D165" s="2">
        <v>2.5731000000000002</v>
      </c>
      <c r="E165" s="2">
        <v>1</v>
      </c>
      <c r="F165" s="2">
        <v>0.11</v>
      </c>
    </row>
    <row r="166" spans="1:9" x14ac:dyDescent="0.35">
      <c r="A166" s="3" t="s">
        <v>150</v>
      </c>
      <c r="B166" s="2"/>
      <c r="C166" s="2"/>
      <c r="D166" s="2"/>
      <c r="E166" s="2"/>
      <c r="F166" s="2"/>
    </row>
    <row r="167" spans="1:9" x14ac:dyDescent="0.35">
      <c r="A167" s="3" t="s">
        <v>110</v>
      </c>
      <c r="B167" s="3">
        <v>1</v>
      </c>
      <c r="C167" s="3">
        <v>2</v>
      </c>
      <c r="D167" s="2">
        <v>1.15E-2</v>
      </c>
      <c r="E167" s="2">
        <v>1</v>
      </c>
      <c r="F167" s="2">
        <v>0.91</v>
      </c>
    </row>
    <row r="168" spans="1:9" x14ac:dyDescent="0.35">
      <c r="A168" s="3" t="s">
        <v>110</v>
      </c>
      <c r="B168" s="3">
        <v>1</v>
      </c>
      <c r="C168" s="3">
        <v>3</v>
      </c>
      <c r="D168" s="2">
        <v>8.2990999999999993</v>
      </c>
      <c r="E168" s="2">
        <v>1</v>
      </c>
      <c r="F168" s="2">
        <v>4.0000000000000001E-3</v>
      </c>
    </row>
    <row r="169" spans="1:9" x14ac:dyDescent="0.35">
      <c r="A169" s="3" t="s">
        <v>110</v>
      </c>
      <c r="B169" s="3">
        <v>1</v>
      </c>
      <c r="C169" s="3">
        <v>4</v>
      </c>
      <c r="D169" s="2">
        <v>1.5043</v>
      </c>
      <c r="E169" s="2">
        <v>1</v>
      </c>
      <c r="F169" s="2">
        <v>0.22</v>
      </c>
    </row>
    <row r="170" spans="1:9" x14ac:dyDescent="0.35">
      <c r="A170" s="3" t="s">
        <v>110</v>
      </c>
      <c r="B170" s="3">
        <v>2</v>
      </c>
      <c r="C170" s="3">
        <v>3</v>
      </c>
      <c r="D170" s="2">
        <v>3.8109000000000002</v>
      </c>
      <c r="E170" s="2">
        <v>1</v>
      </c>
      <c r="F170" s="2">
        <v>5.0999999999999997E-2</v>
      </c>
    </row>
    <row r="171" spans="1:9" x14ac:dyDescent="0.35">
      <c r="A171" s="3" t="s">
        <v>110</v>
      </c>
      <c r="B171" s="3">
        <v>2</v>
      </c>
      <c r="C171" s="3">
        <v>4</v>
      </c>
      <c r="D171" s="2">
        <v>1.4554</v>
      </c>
      <c r="E171" s="2">
        <v>1</v>
      </c>
      <c r="F171" s="2">
        <v>0.23</v>
      </c>
    </row>
    <row r="172" spans="1:9" x14ac:dyDescent="0.35">
      <c r="A172" s="3" t="s">
        <v>110</v>
      </c>
      <c r="B172" s="3">
        <v>3</v>
      </c>
      <c r="C172" s="3">
        <v>4</v>
      </c>
      <c r="D172" s="2">
        <v>0.51900000000000002</v>
      </c>
      <c r="E172" s="2">
        <v>1</v>
      </c>
      <c r="F172" s="2">
        <v>0.47</v>
      </c>
    </row>
    <row r="174" spans="1:9" ht="17.5" x14ac:dyDescent="0.35">
      <c r="A174" s="1" t="s">
        <v>111</v>
      </c>
    </row>
    <row r="176" spans="1:9" x14ac:dyDescent="0.35">
      <c r="A176" s="2"/>
      <c r="B176" s="3" t="s">
        <v>42</v>
      </c>
      <c r="C176" s="3" t="s">
        <v>105</v>
      </c>
      <c r="D176" s="3" t="s">
        <v>43</v>
      </c>
      <c r="E176" s="3" t="s">
        <v>105</v>
      </c>
      <c r="F176" s="3" t="s">
        <v>44</v>
      </c>
      <c r="G176" s="3" t="s">
        <v>105</v>
      </c>
      <c r="H176" s="3" t="s">
        <v>45</v>
      </c>
      <c r="I176" s="3" t="s">
        <v>105</v>
      </c>
    </row>
    <row r="177" spans="1:9" x14ac:dyDescent="0.35">
      <c r="A177" s="3" t="s">
        <v>112</v>
      </c>
      <c r="B177" s="2">
        <v>0.61539999999999995</v>
      </c>
      <c r="C177" s="2">
        <v>5.2299999999999999E-2</v>
      </c>
      <c r="D177" s="2">
        <v>0.15290000000000001</v>
      </c>
      <c r="E177" s="2">
        <v>4.36E-2</v>
      </c>
      <c r="F177" s="2">
        <v>0.1956</v>
      </c>
      <c r="G177" s="2">
        <v>4.2799999999999998E-2</v>
      </c>
      <c r="H177" s="2">
        <v>3.61E-2</v>
      </c>
      <c r="I177" s="2">
        <v>2.1100000000000001E-2</v>
      </c>
    </row>
    <row r="178" spans="1:9" x14ac:dyDescent="0.35">
      <c r="A178" s="3" t="s">
        <v>107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35">
      <c r="A179" s="3" t="s">
        <v>150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35">
      <c r="A180" s="3" t="s">
        <v>155</v>
      </c>
      <c r="B180" s="2">
        <v>0.1469</v>
      </c>
      <c r="C180" s="2" t="s">
        <v>11</v>
      </c>
      <c r="D180" s="2">
        <v>0.13869999999999999</v>
      </c>
      <c r="E180" s="2" t="s">
        <v>11</v>
      </c>
      <c r="F180" s="2">
        <v>2.7E-2</v>
      </c>
      <c r="G180" s="2" t="s">
        <v>11</v>
      </c>
      <c r="H180" s="2">
        <v>1.8E-3</v>
      </c>
      <c r="I180" s="2" t="s">
        <v>11</v>
      </c>
    </row>
    <row r="181" spans="1:9" x14ac:dyDescent="0.35">
      <c r="A181" s="3" t="s">
        <v>164</v>
      </c>
      <c r="B181" s="2">
        <v>0.85309999999999997</v>
      </c>
      <c r="C181" s="2" t="s">
        <v>11</v>
      </c>
      <c r="D181" s="2">
        <v>0.86129999999999995</v>
      </c>
      <c r="E181" s="2" t="s">
        <v>11</v>
      </c>
      <c r="F181" s="2">
        <v>0.97299999999999998</v>
      </c>
      <c r="G181" s="2" t="s">
        <v>11</v>
      </c>
      <c r="H181" s="2">
        <v>0.99819999999999998</v>
      </c>
      <c r="I181" s="2" t="s">
        <v>11</v>
      </c>
    </row>
    <row r="183" spans="1:9" ht="17.5" x14ac:dyDescent="0.35">
      <c r="A183" s="1" t="s">
        <v>113</v>
      </c>
    </row>
    <row r="185" spans="1:9" x14ac:dyDescent="0.3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35">
      <c r="A186" s="3" t="s">
        <v>114</v>
      </c>
      <c r="B186" s="2">
        <v>0.61539999999999995</v>
      </c>
      <c r="C186" s="2">
        <v>0.15290000000000001</v>
      </c>
      <c r="D186" s="2">
        <v>0.1956</v>
      </c>
      <c r="E186" s="2">
        <v>3.61E-2</v>
      </c>
    </row>
    <row r="187" spans="1:9" x14ac:dyDescent="0.35">
      <c r="A187" s="3" t="s">
        <v>107</v>
      </c>
      <c r="B187" s="2"/>
      <c r="C187" s="2"/>
      <c r="D187" s="2"/>
      <c r="E187" s="2"/>
    </row>
    <row r="188" spans="1:9" x14ac:dyDescent="0.35">
      <c r="A188" s="3" t="s">
        <v>150</v>
      </c>
      <c r="B188" s="2"/>
      <c r="C188" s="2"/>
      <c r="D188" s="2"/>
      <c r="E188" s="2"/>
    </row>
    <row r="189" spans="1:9" x14ac:dyDescent="0.35">
      <c r="A189" s="3" t="s">
        <v>155</v>
      </c>
      <c r="B189" s="2">
        <v>0.77290000000000003</v>
      </c>
      <c r="C189" s="2">
        <v>0.18129999999999999</v>
      </c>
      <c r="D189" s="2">
        <v>4.5199999999999997E-2</v>
      </c>
      <c r="E189" s="2">
        <v>5.9999999999999995E-4</v>
      </c>
    </row>
    <row r="190" spans="1:9" x14ac:dyDescent="0.35">
      <c r="A190" s="3" t="s">
        <v>164</v>
      </c>
      <c r="B190" s="2">
        <v>0.59450000000000003</v>
      </c>
      <c r="C190" s="2">
        <v>0.14910000000000001</v>
      </c>
      <c r="D190" s="2">
        <v>0.21560000000000001</v>
      </c>
      <c r="E190" s="2">
        <v>4.0800000000000003E-2</v>
      </c>
    </row>
    <row r="192" spans="1:9" ht="17.5" x14ac:dyDescent="0.35">
      <c r="A192" s="1" t="s">
        <v>115</v>
      </c>
    </row>
    <row r="194" spans="1:9" x14ac:dyDescent="0.35">
      <c r="A194" s="2"/>
      <c r="B194" s="20" t="s">
        <v>110</v>
      </c>
      <c r="C194" s="21"/>
      <c r="D194" s="21"/>
      <c r="E194" s="21"/>
      <c r="F194" s="21"/>
      <c r="G194" s="21"/>
      <c r="H194" s="21"/>
      <c r="I194" s="22"/>
    </row>
    <row r="195" spans="1:9" x14ac:dyDescent="0.35">
      <c r="A195" s="3" t="s">
        <v>150</v>
      </c>
      <c r="B195" s="3">
        <v>1</v>
      </c>
      <c r="C195" s="3" t="s">
        <v>105</v>
      </c>
      <c r="D195" s="3">
        <v>2</v>
      </c>
      <c r="E195" s="3" t="s">
        <v>105</v>
      </c>
      <c r="F195" s="3">
        <v>3</v>
      </c>
      <c r="G195" s="3" t="s">
        <v>105</v>
      </c>
      <c r="H195" s="3">
        <v>4</v>
      </c>
      <c r="I195" s="3" t="s">
        <v>105</v>
      </c>
    </row>
    <row r="196" spans="1:9" x14ac:dyDescent="0.35">
      <c r="A196" s="3" t="s">
        <v>155</v>
      </c>
      <c r="B196" s="2">
        <v>0.77290000000000003</v>
      </c>
      <c r="C196" s="2">
        <v>6.9800000000000001E-2</v>
      </c>
      <c r="D196" s="2">
        <v>0.18129999999999999</v>
      </c>
      <c r="E196" s="2">
        <v>7.3400000000000007E-2</v>
      </c>
      <c r="F196" s="2">
        <v>4.5199999999999997E-2</v>
      </c>
      <c r="G196" s="2">
        <v>2.5000000000000001E-2</v>
      </c>
      <c r="H196" s="2">
        <v>5.9999999999999995E-4</v>
      </c>
      <c r="I196" s="2">
        <v>2.0999999999999999E-3</v>
      </c>
    </row>
    <row r="197" spans="1:9" x14ac:dyDescent="0.35">
      <c r="A197" s="3" t="s">
        <v>164</v>
      </c>
      <c r="B197" s="2">
        <v>0.59450000000000003</v>
      </c>
      <c r="C197" s="2">
        <v>5.8500000000000003E-2</v>
      </c>
      <c r="D197" s="2">
        <v>0.14910000000000001</v>
      </c>
      <c r="E197" s="2">
        <v>4.8399999999999999E-2</v>
      </c>
      <c r="F197" s="2">
        <v>0.21560000000000001</v>
      </c>
      <c r="G197" s="2">
        <v>4.8300000000000003E-2</v>
      </c>
      <c r="H197" s="2">
        <v>4.0800000000000003E-2</v>
      </c>
      <c r="I197" s="2">
        <v>2.3900000000000001E-2</v>
      </c>
    </row>
    <row r="198" spans="1:9" x14ac:dyDescent="0.35">
      <c r="A198" s="23"/>
      <c r="B198" s="24"/>
      <c r="C198" s="24"/>
      <c r="D198" s="24"/>
      <c r="E198" s="24"/>
      <c r="F198" s="24"/>
      <c r="G198" s="24"/>
      <c r="H198" s="24"/>
      <c r="I198" s="25"/>
    </row>
    <row r="199" spans="1:9" x14ac:dyDescent="0.35">
      <c r="A199" s="2"/>
      <c r="B199" s="20" t="s">
        <v>116</v>
      </c>
      <c r="C199" s="21"/>
      <c r="D199" s="21"/>
      <c r="E199" s="21"/>
      <c r="F199" s="21"/>
      <c r="G199" s="21"/>
      <c r="H199" s="21"/>
      <c r="I199" s="22"/>
    </row>
    <row r="200" spans="1:9" x14ac:dyDescent="0.35">
      <c r="A200" s="3" t="s">
        <v>110</v>
      </c>
      <c r="B200" s="3" t="s">
        <v>88</v>
      </c>
      <c r="C200" s="3" t="s">
        <v>105</v>
      </c>
      <c r="D200" s="3" t="s">
        <v>90</v>
      </c>
      <c r="E200" s="3" t="s">
        <v>105</v>
      </c>
      <c r="F200" s="3" t="s">
        <v>91</v>
      </c>
      <c r="G200" s="3" t="s">
        <v>105</v>
      </c>
      <c r="H200" s="3" t="s">
        <v>92</v>
      </c>
      <c r="I200" s="3" t="s">
        <v>105</v>
      </c>
    </row>
    <row r="201" spans="1:9" x14ac:dyDescent="0.35">
      <c r="A201" s="3">
        <v>1</v>
      </c>
      <c r="B201" s="2">
        <v>0.93820000000000003</v>
      </c>
      <c r="C201" s="2" t="s">
        <v>11</v>
      </c>
      <c r="D201" s="2">
        <v>4.4600000000000001E-2</v>
      </c>
      <c r="E201" s="2" t="s">
        <v>11</v>
      </c>
      <c r="F201" s="2">
        <v>1.5800000000000002E-2</v>
      </c>
      <c r="G201" s="2" t="s">
        <v>11</v>
      </c>
      <c r="H201" s="2">
        <v>1.4E-3</v>
      </c>
      <c r="I201" s="2" t="s">
        <v>11</v>
      </c>
    </row>
    <row r="202" spans="1:9" x14ac:dyDescent="0.35">
      <c r="A202" s="3">
        <v>2</v>
      </c>
      <c r="B202" s="2">
        <v>0.17960000000000001</v>
      </c>
      <c r="C202" s="2" t="s">
        <v>11</v>
      </c>
      <c r="D202" s="2">
        <v>0.72660000000000002</v>
      </c>
      <c r="E202" s="2" t="s">
        <v>11</v>
      </c>
      <c r="F202" s="2">
        <v>9.2299999999999993E-2</v>
      </c>
      <c r="G202" s="2" t="s">
        <v>11</v>
      </c>
      <c r="H202" s="2">
        <v>1.6000000000000001E-3</v>
      </c>
      <c r="I202" s="2" t="s">
        <v>11</v>
      </c>
    </row>
    <row r="203" spans="1:9" x14ac:dyDescent="0.35">
      <c r="A203" s="3">
        <v>3</v>
      </c>
      <c r="B203" s="2">
        <v>4.9599999999999998E-2</v>
      </c>
      <c r="C203" s="2" t="s">
        <v>11</v>
      </c>
      <c r="D203" s="2">
        <v>7.2099999999999997E-2</v>
      </c>
      <c r="E203" s="2" t="s">
        <v>11</v>
      </c>
      <c r="F203" s="2">
        <v>0.87629999999999997</v>
      </c>
      <c r="G203" s="2" t="s">
        <v>11</v>
      </c>
      <c r="H203" s="2">
        <v>2E-3</v>
      </c>
      <c r="I203" s="2" t="s">
        <v>11</v>
      </c>
    </row>
    <row r="204" spans="1:9" x14ac:dyDescent="0.35">
      <c r="A204" s="3">
        <v>4</v>
      </c>
      <c r="B204" s="2">
        <v>2.4299999999999999E-2</v>
      </c>
      <c r="C204" s="2" t="s">
        <v>11</v>
      </c>
      <c r="D204" s="2">
        <v>6.6E-3</v>
      </c>
      <c r="E204" s="2" t="s">
        <v>11</v>
      </c>
      <c r="F204" s="2">
        <v>1.0699999999999999E-2</v>
      </c>
      <c r="G204" s="2" t="s">
        <v>11</v>
      </c>
      <c r="H204" s="2">
        <v>0.95830000000000004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P214"/>
  <sheetViews>
    <sheetView topLeftCell="A169" workbookViewId="0">
      <selection activeCell="B204" sqref="B204"/>
    </sheetView>
  </sheetViews>
  <sheetFormatPr defaultRowHeight="14.5" x14ac:dyDescent="0.35"/>
  <cols>
    <col min="1" max="4" width="35.1796875" customWidth="1"/>
  </cols>
  <sheetData>
    <row r="1" spans="1:6" ht="17.5" x14ac:dyDescent="0.35">
      <c r="A1" s="1" t="s">
        <v>127</v>
      </c>
    </row>
    <row r="3" spans="1:6" x14ac:dyDescent="0.35">
      <c r="A3" s="20" t="s">
        <v>0</v>
      </c>
      <c r="B3" s="21"/>
      <c r="C3" s="21"/>
      <c r="D3" s="21"/>
      <c r="E3" s="21"/>
      <c r="F3" s="22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13400</v>
      </c>
      <c r="C5" s="2"/>
      <c r="D5" s="2"/>
      <c r="E5" s="2"/>
      <c r="F5" s="2"/>
    </row>
    <row r="6" spans="1:6" x14ac:dyDescent="0.35">
      <c r="A6" s="3" t="s">
        <v>2</v>
      </c>
      <c r="B6" s="2">
        <v>12</v>
      </c>
      <c r="C6" s="2"/>
      <c r="D6" s="2"/>
      <c r="E6" s="2"/>
      <c r="F6" s="2"/>
    </row>
    <row r="7" spans="1:6" x14ac:dyDescent="0.35">
      <c r="A7" s="3" t="s">
        <v>3</v>
      </c>
      <c r="B7" s="2">
        <v>11.3619</v>
      </c>
      <c r="C7" s="2"/>
      <c r="D7" s="2"/>
      <c r="E7" s="2"/>
      <c r="F7" s="2"/>
    </row>
    <row r="8" spans="1:6" x14ac:dyDescent="0.35">
      <c r="A8" s="3" t="s">
        <v>4</v>
      </c>
      <c r="B8" s="2">
        <v>11.3619</v>
      </c>
      <c r="C8" s="2"/>
      <c r="D8" s="2"/>
      <c r="E8" s="2"/>
      <c r="F8" s="2"/>
    </row>
    <row r="9" spans="1:6" x14ac:dyDescent="0.35">
      <c r="A9" s="3" t="s">
        <v>5</v>
      </c>
      <c r="B9" s="2">
        <v>324203</v>
      </c>
      <c r="C9" s="2"/>
      <c r="D9" s="2"/>
      <c r="E9" s="2"/>
      <c r="F9" s="2"/>
    </row>
    <row r="10" spans="1:6" x14ac:dyDescent="0.35">
      <c r="A10" s="3" t="s">
        <v>6</v>
      </c>
      <c r="B10" s="2">
        <v>324203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0</v>
      </c>
      <c r="C17" s="2"/>
      <c r="D17" s="2"/>
      <c r="E17" s="2"/>
      <c r="F17" s="2"/>
    </row>
    <row r="18" spans="1:6" x14ac:dyDescent="0.35">
      <c r="A18" s="3" t="s">
        <v>15</v>
      </c>
      <c r="B18" s="2">
        <v>0</v>
      </c>
      <c r="C18" s="2"/>
      <c r="D18" s="2"/>
      <c r="E18" s="2"/>
      <c r="F18" s="2"/>
    </row>
    <row r="19" spans="1:6" x14ac:dyDescent="0.35">
      <c r="A19" s="3" t="s">
        <v>16</v>
      </c>
      <c r="B19" s="2">
        <v>0</v>
      </c>
      <c r="C19" s="2"/>
      <c r="D19" s="2"/>
      <c r="E19" s="2"/>
      <c r="F19" s="2"/>
    </row>
    <row r="20" spans="1:6" x14ac:dyDescent="0.35">
      <c r="A20" s="3" t="s">
        <v>17</v>
      </c>
      <c r="B20" s="2">
        <v>0</v>
      </c>
      <c r="C20" s="2"/>
      <c r="D20" s="2"/>
      <c r="E20" s="2"/>
      <c r="F20" s="2"/>
    </row>
    <row r="21" spans="1:6" x14ac:dyDescent="0.35">
      <c r="A21" s="3" t="s">
        <v>18</v>
      </c>
      <c r="B21" s="2">
        <v>0</v>
      </c>
      <c r="C21" s="2"/>
      <c r="D21" s="2"/>
      <c r="E21" s="2"/>
      <c r="F21" s="2"/>
    </row>
    <row r="22" spans="1:6" x14ac:dyDescent="0.35">
      <c r="A22" s="3" t="s">
        <v>19</v>
      </c>
      <c r="B22" s="2">
        <v>0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-12483.4568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-12483.4568</v>
      </c>
      <c r="C27" s="2"/>
      <c r="D27" s="2"/>
      <c r="E27" s="2"/>
      <c r="F27" s="2"/>
    </row>
    <row r="28" spans="1:6" x14ac:dyDescent="0.35">
      <c r="A28" s="3" t="s">
        <v>24</v>
      </c>
      <c r="B28" s="2">
        <v>25080.949700000001</v>
      </c>
      <c r="C28" s="2"/>
      <c r="D28" s="2"/>
      <c r="E28" s="2"/>
      <c r="F28" s="2"/>
    </row>
    <row r="29" spans="1:6" x14ac:dyDescent="0.35">
      <c r="A29" s="3" t="s">
        <v>25</v>
      </c>
      <c r="B29" s="2">
        <v>24990.9136</v>
      </c>
      <c r="C29" s="2"/>
      <c r="D29" s="2"/>
      <c r="E29" s="2"/>
      <c r="F29" s="2"/>
    </row>
    <row r="30" spans="1:6" x14ac:dyDescent="0.35">
      <c r="A30" s="3" t="s">
        <v>26</v>
      </c>
      <c r="B30" s="2">
        <v>25002.9136</v>
      </c>
      <c r="C30" s="2"/>
      <c r="D30" s="2"/>
      <c r="E30" s="2"/>
      <c r="F30" s="2"/>
    </row>
    <row r="31" spans="1:6" x14ac:dyDescent="0.35">
      <c r="A31" s="3" t="s">
        <v>27</v>
      </c>
      <c r="B31" s="2">
        <v>25092.949700000001</v>
      </c>
      <c r="C31" s="2"/>
      <c r="D31" s="2"/>
      <c r="E31" s="2"/>
      <c r="F31" s="2"/>
    </row>
    <row r="32" spans="1:6" x14ac:dyDescent="0.35">
      <c r="A32" s="3" t="s">
        <v>28</v>
      </c>
      <c r="B32" s="2">
        <v>25042.814900000001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0.34279999999999999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4.5999999999999999E-3</v>
      </c>
      <c r="C38" s="2"/>
      <c r="D38" s="2"/>
      <c r="E38" s="2"/>
      <c r="F38" s="2"/>
    </row>
    <row r="39" spans="1:6" x14ac:dyDescent="0.35">
      <c r="A39" s="3" t="s">
        <v>33</v>
      </c>
      <c r="B39" s="2">
        <v>5.3E-3</v>
      </c>
      <c r="C39" s="2"/>
      <c r="D39" s="2"/>
      <c r="E39" s="2"/>
      <c r="F39" s="2"/>
    </row>
    <row r="40" spans="1:6" x14ac:dyDescent="0.35">
      <c r="A40" s="3" t="s">
        <v>34</v>
      </c>
      <c r="B40" s="2">
        <v>-24955.732800000002</v>
      </c>
      <c r="C40" s="2"/>
      <c r="D40" s="2"/>
      <c r="E40" s="2"/>
      <c r="F40" s="2"/>
    </row>
    <row r="41" spans="1:6" x14ac:dyDescent="0.35">
      <c r="A41" s="3" t="s">
        <v>35</v>
      </c>
      <c r="B41" s="2">
        <v>12472.276</v>
      </c>
      <c r="C41" s="2"/>
      <c r="D41" s="2"/>
      <c r="E41" s="2"/>
      <c r="F41" s="2"/>
    </row>
    <row r="42" spans="1:6" x14ac:dyDescent="0.35">
      <c r="A42" s="3" t="s">
        <v>36</v>
      </c>
      <c r="B42" s="2">
        <v>49911.465600000003</v>
      </c>
      <c r="C42" s="2"/>
      <c r="D42" s="2"/>
      <c r="E42" s="2"/>
      <c r="F42" s="2"/>
    </row>
    <row r="43" spans="1:6" x14ac:dyDescent="0.35">
      <c r="A43" s="3" t="s">
        <v>37</v>
      </c>
      <c r="B43" s="2">
        <v>50175.537900000003</v>
      </c>
      <c r="C43" s="2"/>
      <c r="D43" s="2"/>
      <c r="E43" s="2"/>
      <c r="F43" s="2"/>
    </row>
    <row r="44" spans="1:6" x14ac:dyDescent="0.35">
      <c r="A44" s="3" t="s">
        <v>38</v>
      </c>
      <c r="B44" s="2">
        <v>50025.501799999998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8806.5157999999992</v>
      </c>
      <c r="C48" s="2">
        <v>0</v>
      </c>
      <c r="D48" s="2">
        <v>0</v>
      </c>
      <c r="E48" s="2">
        <v>0</v>
      </c>
      <c r="F48" s="2">
        <v>8806.5157999999992</v>
      </c>
    </row>
    <row r="49" spans="1:6" x14ac:dyDescent="0.35">
      <c r="A49" s="3" t="s">
        <v>43</v>
      </c>
      <c r="B49" s="2">
        <v>2225.1707999999999</v>
      </c>
      <c r="C49" s="2">
        <v>0</v>
      </c>
      <c r="D49" s="2">
        <v>0</v>
      </c>
      <c r="E49" s="2">
        <v>0</v>
      </c>
      <c r="F49" s="2">
        <v>2225.1707999999999</v>
      </c>
    </row>
    <row r="50" spans="1:6" x14ac:dyDescent="0.35">
      <c r="A50" s="3" t="s">
        <v>44</v>
      </c>
      <c r="B50" s="2">
        <v>2147.8040999999998</v>
      </c>
      <c r="C50" s="2">
        <v>0</v>
      </c>
      <c r="D50" s="2">
        <v>0</v>
      </c>
      <c r="E50" s="2">
        <v>0</v>
      </c>
      <c r="F50" s="2">
        <v>2147.8040999999998</v>
      </c>
    </row>
    <row r="51" spans="1:6" x14ac:dyDescent="0.35">
      <c r="A51" s="3" t="s">
        <v>45</v>
      </c>
      <c r="B51" s="2">
        <v>220.5093</v>
      </c>
      <c r="C51" s="2">
        <v>0</v>
      </c>
      <c r="D51" s="2">
        <v>0</v>
      </c>
      <c r="E51" s="2">
        <v>0</v>
      </c>
      <c r="F51" s="2">
        <v>220.5093</v>
      </c>
    </row>
    <row r="52" spans="1:6" x14ac:dyDescent="0.35">
      <c r="A52" s="3" t="s">
        <v>46</v>
      </c>
      <c r="B52" s="2">
        <v>13400</v>
      </c>
      <c r="C52" s="2">
        <v>0</v>
      </c>
      <c r="D52" s="2">
        <v>0</v>
      </c>
      <c r="E52" s="2">
        <v>0</v>
      </c>
      <c r="F52" s="2">
        <v>13400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5811.4207999999999</v>
      </c>
      <c r="C56" s="2">
        <v>1455.6220000000001</v>
      </c>
      <c r="D56" s="2">
        <v>1395.6142</v>
      </c>
      <c r="E56" s="2">
        <v>143.8588</v>
      </c>
      <c r="F56" s="2">
        <v>8806.5157999999992</v>
      </c>
    </row>
    <row r="57" spans="1:6" x14ac:dyDescent="0.35">
      <c r="A57" s="3" t="s">
        <v>43</v>
      </c>
      <c r="B57" s="2">
        <v>1455.6220000000001</v>
      </c>
      <c r="C57" s="2">
        <v>371.54340000000002</v>
      </c>
      <c r="D57" s="2">
        <v>361.07650000000001</v>
      </c>
      <c r="E57" s="2">
        <v>36.928899999999999</v>
      </c>
      <c r="F57" s="2">
        <v>2225.1707999999999</v>
      </c>
    </row>
    <row r="58" spans="1:6" x14ac:dyDescent="0.35">
      <c r="A58" s="3" t="s">
        <v>44</v>
      </c>
      <c r="B58" s="2">
        <v>1395.6142</v>
      </c>
      <c r="C58" s="2">
        <v>361.07650000000001</v>
      </c>
      <c r="D58" s="2">
        <v>355.17219999999998</v>
      </c>
      <c r="E58" s="2">
        <v>35.941200000000002</v>
      </c>
      <c r="F58" s="2">
        <v>2147.8040999999998</v>
      </c>
    </row>
    <row r="59" spans="1:6" x14ac:dyDescent="0.35">
      <c r="A59" s="3" t="s">
        <v>45</v>
      </c>
      <c r="B59" s="2">
        <v>143.8588</v>
      </c>
      <c r="C59" s="2">
        <v>36.928899999999999</v>
      </c>
      <c r="D59" s="2">
        <v>35.941200000000002</v>
      </c>
      <c r="E59" s="2">
        <v>3.7804000000000002</v>
      </c>
      <c r="F59" s="2">
        <v>220.5093</v>
      </c>
    </row>
    <row r="60" spans="1:6" x14ac:dyDescent="0.35">
      <c r="A60" s="3" t="s">
        <v>46</v>
      </c>
      <c r="B60" s="2">
        <v>8806.5157999999992</v>
      </c>
      <c r="C60" s="2">
        <v>2225.1707999999999</v>
      </c>
      <c r="D60" s="2">
        <v>2147.8040999999998</v>
      </c>
      <c r="E60" s="2">
        <v>220.5093</v>
      </c>
      <c r="F60" s="2">
        <v>13400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0.34279999999999999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4.5999999999999999E-3</v>
      </c>
      <c r="C65" s="2"/>
      <c r="D65" s="2"/>
      <c r="E65" s="2"/>
      <c r="F65" s="2"/>
    </row>
    <row r="66" spans="1:6" x14ac:dyDescent="0.35">
      <c r="A66" s="3" t="s">
        <v>33</v>
      </c>
      <c r="B66" s="2">
        <v>5.3E-3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23" t="s">
        <v>128</v>
      </c>
      <c r="C69" s="24"/>
      <c r="D69" s="24"/>
      <c r="E69" s="24"/>
      <c r="F69" s="25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52</v>
      </c>
      <c r="B71" s="2"/>
      <c r="C71" s="2"/>
      <c r="D71" s="2"/>
      <c r="E71" s="2"/>
      <c r="F71" s="2"/>
    </row>
    <row r="72" spans="1:6" x14ac:dyDescent="0.35">
      <c r="A72" s="3" t="s">
        <v>53</v>
      </c>
      <c r="B72" s="2">
        <v>4</v>
      </c>
      <c r="C72" s="2"/>
      <c r="D72" s="2"/>
      <c r="E72" s="2"/>
      <c r="F72" s="2"/>
    </row>
    <row r="73" spans="1:6" x14ac:dyDescent="0.35">
      <c r="A73" s="3" t="s">
        <v>54</v>
      </c>
      <c r="B73" s="2"/>
      <c r="C73" s="2"/>
      <c r="D73" s="2"/>
      <c r="E73" s="2"/>
      <c r="F73" s="2"/>
    </row>
    <row r="74" spans="1:6" x14ac:dyDescent="0.35">
      <c r="A74" s="3" t="s">
        <v>55</v>
      </c>
      <c r="B74" s="4">
        <v>1E-8</v>
      </c>
      <c r="C74" s="2"/>
      <c r="D74" s="2"/>
      <c r="E74" s="2"/>
      <c r="F74" s="2"/>
    </row>
    <row r="75" spans="1:6" x14ac:dyDescent="0.35">
      <c r="A75" s="3" t="s">
        <v>56</v>
      </c>
      <c r="B75" s="2">
        <v>0.01</v>
      </c>
      <c r="C75" s="2"/>
      <c r="D75" s="2"/>
      <c r="E75" s="2"/>
      <c r="F75" s="2"/>
    </row>
    <row r="76" spans="1:6" x14ac:dyDescent="0.35">
      <c r="A76" s="3" t="s">
        <v>57</v>
      </c>
      <c r="B76" s="2">
        <v>250</v>
      </c>
      <c r="C76" s="2"/>
      <c r="D76" s="2"/>
      <c r="E76" s="2"/>
      <c r="F76" s="2"/>
    </row>
    <row r="77" spans="1:6" x14ac:dyDescent="0.35">
      <c r="A77" s="3" t="s">
        <v>58</v>
      </c>
      <c r="B77" s="2">
        <v>50</v>
      </c>
      <c r="C77" s="2"/>
      <c r="D77" s="2"/>
      <c r="E77" s="2"/>
      <c r="F77" s="2"/>
    </row>
    <row r="78" spans="1:6" x14ac:dyDescent="0.35">
      <c r="A78" s="3" t="s">
        <v>59</v>
      </c>
      <c r="B78" s="2"/>
      <c r="C78" s="2"/>
      <c r="D78" s="2"/>
      <c r="E78" s="2"/>
      <c r="F78" s="2"/>
    </row>
    <row r="79" spans="1:6" x14ac:dyDescent="0.35">
      <c r="A79" s="3" t="s">
        <v>60</v>
      </c>
      <c r="B79" s="2">
        <v>0</v>
      </c>
      <c r="C79" s="2"/>
      <c r="D79" s="2"/>
      <c r="E79" s="2"/>
      <c r="F79" s="2"/>
    </row>
    <row r="80" spans="1:6" x14ac:dyDescent="0.35">
      <c r="A80" s="3" t="s">
        <v>61</v>
      </c>
      <c r="B80" s="2">
        <v>200</v>
      </c>
      <c r="C80" s="2"/>
      <c r="D80" s="2"/>
      <c r="E80" s="2"/>
      <c r="F80" s="2"/>
    </row>
    <row r="81" spans="1:6" x14ac:dyDescent="0.3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62</v>
      </c>
      <c r="B82" s="2">
        <v>150</v>
      </c>
      <c r="C82" s="2"/>
      <c r="D82" s="2"/>
      <c r="E82" s="2"/>
      <c r="F82" s="2"/>
    </row>
    <row r="83" spans="1:6" x14ac:dyDescent="0.35">
      <c r="A83" s="3" t="s">
        <v>63</v>
      </c>
      <c r="B83" s="2"/>
      <c r="C83" s="2"/>
      <c r="D83" s="2"/>
      <c r="E83" s="2"/>
      <c r="F83" s="2"/>
    </row>
    <row r="84" spans="1:6" x14ac:dyDescent="0.35">
      <c r="A84" s="3" t="s">
        <v>64</v>
      </c>
      <c r="B84" s="2">
        <v>1</v>
      </c>
      <c r="C84" s="2"/>
      <c r="D84" s="2"/>
      <c r="E84" s="2"/>
      <c r="F84" s="2"/>
    </row>
    <row r="85" spans="1:6" x14ac:dyDescent="0.35">
      <c r="A85" s="3" t="s">
        <v>65</v>
      </c>
      <c r="B85" s="2">
        <v>1</v>
      </c>
      <c r="C85" s="2"/>
      <c r="D85" s="2"/>
      <c r="E85" s="2"/>
      <c r="F85" s="2"/>
    </row>
    <row r="86" spans="1:6" x14ac:dyDescent="0.35">
      <c r="A86" s="3" t="s">
        <v>66</v>
      </c>
      <c r="B86" s="2">
        <v>0</v>
      </c>
      <c r="C86" s="2"/>
      <c r="D86" s="2"/>
      <c r="E86" s="2"/>
      <c r="F86" s="2"/>
    </row>
    <row r="87" spans="1:6" x14ac:dyDescent="0.35">
      <c r="A87" s="3" t="s">
        <v>67</v>
      </c>
      <c r="B87" s="2">
        <v>1</v>
      </c>
      <c r="C87" s="2"/>
      <c r="D87" s="2"/>
      <c r="E87" s="2"/>
      <c r="F87" s="2"/>
    </row>
    <row r="88" spans="1:6" x14ac:dyDescent="0.35">
      <c r="A88" s="3" t="s">
        <v>68</v>
      </c>
      <c r="B88" s="2"/>
      <c r="C88" s="2"/>
      <c r="D88" s="2"/>
      <c r="E88" s="2"/>
      <c r="F88" s="2"/>
    </row>
    <row r="89" spans="1:6" x14ac:dyDescent="0.35">
      <c r="A89" s="3" t="s">
        <v>69</v>
      </c>
      <c r="B89" s="2">
        <v>10</v>
      </c>
      <c r="C89" s="2"/>
      <c r="D89" s="2"/>
      <c r="E89" s="2"/>
      <c r="F89" s="2"/>
    </row>
    <row r="90" spans="1:6" x14ac:dyDescent="0.3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35">
      <c r="A91" s="3" t="s">
        <v>72</v>
      </c>
      <c r="B91" s="2"/>
      <c r="C91" s="2"/>
      <c r="D91" s="2"/>
      <c r="E91" s="2"/>
      <c r="F91" s="2"/>
    </row>
    <row r="92" spans="1:6" x14ac:dyDescent="0.3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3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3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35">
      <c r="A95" s="3" t="s">
        <v>79</v>
      </c>
      <c r="B95" s="2"/>
      <c r="C95" s="2"/>
      <c r="D95" s="2"/>
      <c r="E95" s="2"/>
      <c r="F95" s="2"/>
    </row>
    <row r="96" spans="1:6" x14ac:dyDescent="0.3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3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35">
      <c r="A98" s="3" t="s">
        <v>84</v>
      </c>
      <c r="B98" s="2">
        <v>13400</v>
      </c>
      <c r="C98" s="2"/>
      <c r="D98" s="2"/>
      <c r="E98" s="2"/>
      <c r="F98" s="2"/>
    </row>
    <row r="99" spans="1:6" x14ac:dyDescent="0.3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86</v>
      </c>
      <c r="B101" s="2"/>
      <c r="C101" s="2"/>
      <c r="D101" s="2"/>
      <c r="E101" s="2"/>
      <c r="F101" s="2"/>
    </row>
    <row r="102" spans="1:6" x14ac:dyDescent="0.35">
      <c r="A102" s="3" t="s">
        <v>87</v>
      </c>
      <c r="B102" s="2"/>
      <c r="C102" s="2"/>
      <c r="D102" s="2"/>
      <c r="E102" s="2"/>
      <c r="F102" s="2"/>
    </row>
    <row r="103" spans="1:6" x14ac:dyDescent="0.35">
      <c r="A103" s="3" t="s">
        <v>88</v>
      </c>
      <c r="B103" s="2"/>
      <c r="C103" s="2">
        <v>711</v>
      </c>
      <c r="D103" s="2"/>
      <c r="E103" s="2"/>
      <c r="F103" s="2"/>
    </row>
    <row r="104" spans="1:6" x14ac:dyDescent="0.3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3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3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3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35">
      <c r="A108" s="3" t="s">
        <v>89</v>
      </c>
      <c r="B108" s="2"/>
      <c r="C108" s="2"/>
      <c r="D108" s="2"/>
      <c r="E108" s="2"/>
      <c r="F108" s="2"/>
    </row>
    <row r="109" spans="1:6" x14ac:dyDescent="0.3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3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3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35">
      <c r="A112" s="3" t="s">
        <v>90</v>
      </c>
      <c r="B112" s="2"/>
      <c r="C112" s="2">
        <v>711</v>
      </c>
      <c r="D112" s="2"/>
      <c r="E112" s="2"/>
      <c r="F112" s="2"/>
    </row>
    <row r="113" spans="1:6" x14ac:dyDescent="0.3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3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3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3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35">
      <c r="A117" s="3" t="s">
        <v>89</v>
      </c>
      <c r="B117" s="2"/>
      <c r="C117" s="2"/>
      <c r="D117" s="2"/>
      <c r="E117" s="2"/>
      <c r="F117" s="2"/>
    </row>
    <row r="118" spans="1:6" x14ac:dyDescent="0.3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3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35">
      <c r="A121" s="3" t="s">
        <v>91</v>
      </c>
      <c r="B121" s="2"/>
      <c r="C121" s="2">
        <v>711</v>
      </c>
      <c r="D121" s="2"/>
      <c r="E121" s="2"/>
      <c r="F121" s="2"/>
    </row>
    <row r="122" spans="1:6" x14ac:dyDescent="0.3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3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3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3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35">
      <c r="A126" s="3" t="s">
        <v>89</v>
      </c>
      <c r="B126" s="2"/>
      <c r="C126" s="2"/>
      <c r="D126" s="2"/>
      <c r="E126" s="2"/>
      <c r="F126" s="2"/>
    </row>
    <row r="127" spans="1:6" x14ac:dyDescent="0.3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3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3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35">
      <c r="A130" s="3" t="s">
        <v>92</v>
      </c>
      <c r="B130" s="2"/>
      <c r="C130" s="2">
        <v>711</v>
      </c>
      <c r="D130" s="2"/>
      <c r="E130" s="2"/>
      <c r="F130" s="2"/>
    </row>
    <row r="131" spans="1:6" x14ac:dyDescent="0.3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3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3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3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35">
      <c r="A135" s="3" t="s">
        <v>89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3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3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35">
      <c r="A139" s="3" t="s">
        <v>93</v>
      </c>
      <c r="B139" s="2"/>
      <c r="C139" s="2"/>
      <c r="D139" s="2"/>
      <c r="E139" s="2"/>
      <c r="F139" s="2"/>
    </row>
    <row r="140" spans="1:6" x14ac:dyDescent="0.35">
      <c r="A140" s="3" t="s">
        <v>129</v>
      </c>
      <c r="B140" s="2" t="s">
        <v>95</v>
      </c>
      <c r="C140" s="2">
        <v>4</v>
      </c>
      <c r="D140" s="2"/>
      <c r="E140" s="2"/>
      <c r="F140" s="2"/>
    </row>
    <row r="141" spans="1:6" x14ac:dyDescent="0.35">
      <c r="A141" s="3" t="s">
        <v>130</v>
      </c>
      <c r="B141" s="2">
        <v>1</v>
      </c>
      <c r="C141" s="2"/>
      <c r="D141" s="2"/>
      <c r="E141" s="2"/>
      <c r="F141" s="2"/>
    </row>
    <row r="142" spans="1:6" x14ac:dyDescent="0.35">
      <c r="A142" s="3" t="s">
        <v>131</v>
      </c>
      <c r="B142" s="2">
        <v>2</v>
      </c>
      <c r="C142" s="2"/>
      <c r="D142" s="2"/>
      <c r="E142" s="2"/>
      <c r="F142" s="2"/>
    </row>
    <row r="143" spans="1:6" x14ac:dyDescent="0.35">
      <c r="A143" s="3" t="s">
        <v>132</v>
      </c>
      <c r="B143" s="2">
        <v>3</v>
      </c>
      <c r="C143" s="2"/>
      <c r="D143" s="2"/>
      <c r="E143" s="2"/>
      <c r="F143" s="2"/>
    </row>
    <row r="144" spans="1:6" x14ac:dyDescent="0.35">
      <c r="A144" s="3" t="s">
        <v>133</v>
      </c>
      <c r="B144" s="2">
        <v>4</v>
      </c>
      <c r="C144" s="2"/>
      <c r="D144" s="2"/>
      <c r="E144" s="2"/>
      <c r="F144" s="2"/>
    </row>
    <row r="146" spans="1:16" ht="17.5" x14ac:dyDescent="0.35">
      <c r="A146" s="1" t="s">
        <v>102</v>
      </c>
    </row>
    <row r="148" spans="1:16" x14ac:dyDescent="0.35">
      <c r="A148" s="3" t="s">
        <v>103</v>
      </c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35">
      <c r="A149" s="3" t="s">
        <v>104</v>
      </c>
      <c r="B149" s="3" t="s">
        <v>42</v>
      </c>
      <c r="C149" s="3" t="s">
        <v>105</v>
      </c>
      <c r="D149" s="3" t="s">
        <v>123</v>
      </c>
      <c r="E149" s="3" t="s">
        <v>43</v>
      </c>
      <c r="F149" s="3" t="s">
        <v>105</v>
      </c>
      <c r="G149" s="3" t="s">
        <v>123</v>
      </c>
      <c r="H149" s="3" t="s">
        <v>44</v>
      </c>
      <c r="I149" s="3" t="s">
        <v>105</v>
      </c>
      <c r="J149" s="3" t="s">
        <v>123</v>
      </c>
      <c r="K149" s="3" t="s">
        <v>45</v>
      </c>
      <c r="L149" s="3" t="s">
        <v>105</v>
      </c>
      <c r="M149" s="3" t="s">
        <v>123</v>
      </c>
      <c r="N149" s="3" t="s">
        <v>106</v>
      </c>
      <c r="O149" s="3" t="s">
        <v>9</v>
      </c>
      <c r="P149" s="2"/>
    </row>
    <row r="150" spans="1:16" x14ac:dyDescent="0.35">
      <c r="A150" s="3"/>
      <c r="B150" s="2">
        <v>1.3833</v>
      </c>
      <c r="C150" s="2">
        <v>0.1099</v>
      </c>
      <c r="D150" s="2">
        <v>12.5886</v>
      </c>
      <c r="E150" s="2">
        <v>0.26919999999999999</v>
      </c>
      <c r="F150" s="2">
        <v>0.1273</v>
      </c>
      <c r="G150" s="2">
        <v>2.1151</v>
      </c>
      <c r="H150" s="2">
        <v>0.3468</v>
      </c>
      <c r="I150" s="2">
        <v>0.1328</v>
      </c>
      <c r="J150" s="2">
        <v>2.6120000000000001</v>
      </c>
      <c r="K150" s="2">
        <v>-1.9993000000000001</v>
      </c>
      <c r="L150" s="2">
        <v>0.26679999999999998</v>
      </c>
      <c r="M150" s="2">
        <v>-7.4935999999999998</v>
      </c>
      <c r="N150" s="2">
        <v>171.79750000000001</v>
      </c>
      <c r="O150" s="4">
        <v>5.1999999999999996E-37</v>
      </c>
      <c r="P150" s="2"/>
    </row>
    <row r="151" spans="1:16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35">
      <c r="A152" s="3" t="s">
        <v>107</v>
      </c>
      <c r="B152" s="3" t="s">
        <v>42</v>
      </c>
      <c r="C152" s="3" t="s">
        <v>105</v>
      </c>
      <c r="D152" s="3" t="s">
        <v>123</v>
      </c>
      <c r="E152" s="3" t="s">
        <v>43</v>
      </c>
      <c r="F152" s="3" t="s">
        <v>105</v>
      </c>
      <c r="G152" s="3" t="s">
        <v>123</v>
      </c>
      <c r="H152" s="3" t="s">
        <v>44</v>
      </c>
      <c r="I152" s="3" t="s">
        <v>105</v>
      </c>
      <c r="J152" s="3" t="s">
        <v>123</v>
      </c>
      <c r="K152" s="3" t="s">
        <v>45</v>
      </c>
      <c r="L152" s="3" t="s">
        <v>105</v>
      </c>
      <c r="M152" s="3" t="s">
        <v>123</v>
      </c>
      <c r="N152" s="3" t="s">
        <v>106</v>
      </c>
      <c r="O152" s="3" t="s">
        <v>9</v>
      </c>
      <c r="P152" s="2"/>
    </row>
    <row r="153" spans="1:16" x14ac:dyDescent="0.35">
      <c r="A153" s="3" t="s">
        <v>129</v>
      </c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35">
      <c r="A154" s="3" t="s">
        <v>130</v>
      </c>
      <c r="B154" s="2">
        <v>0.30890000000000001</v>
      </c>
      <c r="C154" s="2">
        <v>0.14099999999999999</v>
      </c>
      <c r="D154" s="2">
        <v>2.1913</v>
      </c>
      <c r="E154" s="2">
        <v>-7.0000000000000001E-3</v>
      </c>
      <c r="F154" s="2">
        <v>0.1671</v>
      </c>
      <c r="G154" s="2">
        <v>-4.1799999999999997E-2</v>
      </c>
      <c r="H154" s="2">
        <v>-0.13200000000000001</v>
      </c>
      <c r="I154" s="2">
        <v>0.17019999999999999</v>
      </c>
      <c r="J154" s="2">
        <v>-0.77590000000000003</v>
      </c>
      <c r="K154" s="2">
        <v>-0.1699</v>
      </c>
      <c r="L154" s="2">
        <v>0.34510000000000002</v>
      </c>
      <c r="M154" s="2">
        <v>-0.49220000000000003</v>
      </c>
      <c r="N154" s="2">
        <v>15.346299999999999</v>
      </c>
      <c r="O154" s="2">
        <v>8.2000000000000003E-2</v>
      </c>
      <c r="P154" s="2"/>
    </row>
    <row r="155" spans="1:16" x14ac:dyDescent="0.35">
      <c r="A155" s="3" t="s">
        <v>131</v>
      </c>
      <c r="B155" s="2">
        <v>0.2087</v>
      </c>
      <c r="C155" s="2">
        <v>0.14319999999999999</v>
      </c>
      <c r="D155" s="2">
        <v>1.4572000000000001</v>
      </c>
      <c r="E155" s="2">
        <v>-3.6200000000000003E-2</v>
      </c>
      <c r="F155" s="2">
        <v>0.17419999999999999</v>
      </c>
      <c r="G155" s="2">
        <v>-0.20760000000000001</v>
      </c>
      <c r="H155" s="2">
        <v>-0.21959999999999999</v>
      </c>
      <c r="I155" s="2">
        <v>0.1741</v>
      </c>
      <c r="J155" s="2">
        <v>-1.2615000000000001</v>
      </c>
      <c r="K155" s="2">
        <v>4.7E-2</v>
      </c>
      <c r="L155" s="2">
        <v>0.3367</v>
      </c>
      <c r="M155" s="2">
        <v>0.13969999999999999</v>
      </c>
      <c r="N155" s="2"/>
      <c r="O155" s="2"/>
      <c r="P155" s="2"/>
    </row>
    <row r="156" spans="1:16" x14ac:dyDescent="0.35">
      <c r="A156" s="3" t="s">
        <v>132</v>
      </c>
      <c r="B156" s="2">
        <v>-2.3800000000000002E-2</v>
      </c>
      <c r="C156" s="2">
        <v>0.21679999999999999</v>
      </c>
      <c r="D156" s="2">
        <v>-0.1099</v>
      </c>
      <c r="E156" s="2">
        <v>-0.11609999999999999</v>
      </c>
      <c r="F156" s="2">
        <v>0.24629999999999999</v>
      </c>
      <c r="G156" s="2">
        <v>-0.47149999999999997</v>
      </c>
      <c r="H156" s="2">
        <v>-6.3200000000000006E-2</v>
      </c>
      <c r="I156" s="2">
        <v>0.2505</v>
      </c>
      <c r="J156" s="2">
        <v>-0.25230000000000002</v>
      </c>
      <c r="K156" s="2">
        <v>0.2031</v>
      </c>
      <c r="L156" s="2">
        <v>0.53659999999999997</v>
      </c>
      <c r="M156" s="2">
        <v>0.37859999999999999</v>
      </c>
      <c r="N156" s="2"/>
      <c r="O156" s="2"/>
      <c r="P156" s="2"/>
    </row>
    <row r="157" spans="1:16" x14ac:dyDescent="0.35">
      <c r="A157" s="3" t="s">
        <v>133</v>
      </c>
      <c r="B157" s="2">
        <v>-0.49380000000000002</v>
      </c>
      <c r="C157" s="2">
        <v>0.24249999999999999</v>
      </c>
      <c r="D157" s="2">
        <v>-2.0365000000000002</v>
      </c>
      <c r="E157" s="2">
        <v>0.1593</v>
      </c>
      <c r="F157" s="2">
        <v>0.26989999999999997</v>
      </c>
      <c r="G157" s="2">
        <v>0.59</v>
      </c>
      <c r="H157" s="2">
        <v>0.4148</v>
      </c>
      <c r="I157" s="2">
        <v>0.3014</v>
      </c>
      <c r="J157" s="2">
        <v>1.3764000000000001</v>
      </c>
      <c r="K157" s="2">
        <v>-8.0299999999999996E-2</v>
      </c>
      <c r="L157" s="2">
        <v>0.57540000000000002</v>
      </c>
      <c r="M157" s="2">
        <v>-0.1396</v>
      </c>
      <c r="N157" s="2"/>
      <c r="O157" s="2"/>
      <c r="P157" s="2"/>
    </row>
    <row r="158" spans="1:16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60" spans="1:16" ht="17.5" x14ac:dyDescent="0.35">
      <c r="A160" s="1" t="s">
        <v>108</v>
      </c>
    </row>
    <row r="162" spans="1:6" x14ac:dyDescent="0.35">
      <c r="A162" s="3" t="s">
        <v>103</v>
      </c>
      <c r="B162" s="3"/>
      <c r="C162" s="3"/>
      <c r="D162" s="3" t="s">
        <v>106</v>
      </c>
      <c r="E162" s="3" t="s">
        <v>109</v>
      </c>
      <c r="F162" s="3" t="s">
        <v>9</v>
      </c>
    </row>
    <row r="163" spans="1:6" x14ac:dyDescent="0.35">
      <c r="A163" s="3" t="s">
        <v>104</v>
      </c>
      <c r="B163" s="2"/>
      <c r="C163" s="2"/>
      <c r="D163" s="2"/>
      <c r="E163" s="2"/>
      <c r="F163" s="2"/>
    </row>
    <row r="164" spans="1:6" x14ac:dyDescent="0.35">
      <c r="A164" s="3" t="s">
        <v>110</v>
      </c>
      <c r="B164" s="3">
        <v>1</v>
      </c>
      <c r="C164" s="3">
        <v>2</v>
      </c>
      <c r="D164" s="2">
        <v>73.231200000000001</v>
      </c>
      <c r="E164" s="2">
        <v>1</v>
      </c>
      <c r="F164" s="4">
        <v>1.1999999999999999E-17</v>
      </c>
    </row>
    <row r="165" spans="1:6" x14ac:dyDescent="0.35">
      <c r="A165" s="3" t="s">
        <v>110</v>
      </c>
      <c r="B165" s="3">
        <v>1</v>
      </c>
      <c r="C165" s="3">
        <v>3</v>
      </c>
      <c r="D165" s="2">
        <v>53.494999999999997</v>
      </c>
      <c r="E165" s="2">
        <v>1</v>
      </c>
      <c r="F165" s="4">
        <v>2.6E-13</v>
      </c>
    </row>
    <row r="166" spans="1:6" x14ac:dyDescent="0.35">
      <c r="A166" s="3" t="s">
        <v>110</v>
      </c>
      <c r="B166" s="3">
        <v>1</v>
      </c>
      <c r="C166" s="3">
        <v>4</v>
      </c>
      <c r="D166" s="2">
        <v>89.152199999999993</v>
      </c>
      <c r="E166" s="2">
        <v>1</v>
      </c>
      <c r="F166" s="4">
        <v>3.7000000000000002E-21</v>
      </c>
    </row>
    <row r="167" spans="1:6" x14ac:dyDescent="0.35">
      <c r="A167" s="3" t="s">
        <v>110</v>
      </c>
      <c r="B167" s="3">
        <v>2</v>
      </c>
      <c r="C167" s="3">
        <v>3</v>
      </c>
      <c r="D167" s="2">
        <v>0.2044</v>
      </c>
      <c r="E167" s="2">
        <v>1</v>
      </c>
      <c r="F167" s="2">
        <v>0.65</v>
      </c>
    </row>
    <row r="168" spans="1:6" x14ac:dyDescent="0.35">
      <c r="A168" s="3" t="s">
        <v>110</v>
      </c>
      <c r="B168" s="3">
        <v>2</v>
      </c>
      <c r="C168" s="3">
        <v>4</v>
      </c>
      <c r="D168" s="2">
        <v>37.994</v>
      </c>
      <c r="E168" s="2">
        <v>1</v>
      </c>
      <c r="F168" s="4">
        <v>7.1000000000000003E-10</v>
      </c>
    </row>
    <row r="169" spans="1:6" x14ac:dyDescent="0.35">
      <c r="A169" s="3" t="s">
        <v>110</v>
      </c>
      <c r="B169" s="3">
        <v>3</v>
      </c>
      <c r="C169" s="3">
        <v>4</v>
      </c>
      <c r="D169" s="2">
        <v>39.877000000000002</v>
      </c>
      <c r="E169" s="2">
        <v>1</v>
      </c>
      <c r="F169" s="4">
        <v>2.7E-10</v>
      </c>
    </row>
    <row r="170" spans="1:6" x14ac:dyDescent="0.35">
      <c r="A170" s="3" t="s">
        <v>129</v>
      </c>
      <c r="B170" s="2"/>
      <c r="C170" s="2"/>
      <c r="D170" s="2"/>
      <c r="E170" s="2"/>
      <c r="F170" s="2"/>
    </row>
    <row r="171" spans="1:6" x14ac:dyDescent="0.35">
      <c r="A171" s="3" t="s">
        <v>110</v>
      </c>
      <c r="B171" s="3">
        <v>1</v>
      </c>
      <c r="C171" s="3">
        <v>2</v>
      </c>
      <c r="D171" s="2">
        <v>7.2117000000000004</v>
      </c>
      <c r="E171" s="2">
        <v>3</v>
      </c>
      <c r="F171" s="2">
        <v>6.5000000000000002E-2</v>
      </c>
    </row>
    <row r="172" spans="1:6" x14ac:dyDescent="0.35">
      <c r="A172" s="3" t="s">
        <v>110</v>
      </c>
      <c r="B172" s="3">
        <v>1</v>
      </c>
      <c r="C172" s="3">
        <v>3</v>
      </c>
      <c r="D172" s="2">
        <v>10.185499999999999</v>
      </c>
      <c r="E172" s="2">
        <v>3</v>
      </c>
      <c r="F172" s="2">
        <v>1.7000000000000001E-2</v>
      </c>
    </row>
    <row r="173" spans="1:6" x14ac:dyDescent="0.35">
      <c r="A173" s="3" t="s">
        <v>110</v>
      </c>
      <c r="B173" s="3">
        <v>1</v>
      </c>
      <c r="C173" s="3">
        <v>4</v>
      </c>
      <c r="D173" s="2">
        <v>1.0893999999999999</v>
      </c>
      <c r="E173" s="2">
        <v>3</v>
      </c>
      <c r="F173" s="2">
        <v>0.78</v>
      </c>
    </row>
    <row r="174" spans="1:6" x14ac:dyDescent="0.35">
      <c r="A174" s="3" t="s">
        <v>110</v>
      </c>
      <c r="B174" s="3">
        <v>2</v>
      </c>
      <c r="C174" s="3">
        <v>3</v>
      </c>
      <c r="D174" s="2">
        <v>0.83989999999999998</v>
      </c>
      <c r="E174" s="2">
        <v>3</v>
      </c>
      <c r="F174" s="2">
        <v>0.84</v>
      </c>
    </row>
    <row r="175" spans="1:6" x14ac:dyDescent="0.35">
      <c r="A175" s="3" t="s">
        <v>110</v>
      </c>
      <c r="B175" s="3">
        <v>2</v>
      </c>
      <c r="C175" s="3">
        <v>4</v>
      </c>
      <c r="D175" s="2">
        <v>0.35849999999999999</v>
      </c>
      <c r="E175" s="2">
        <v>3</v>
      </c>
      <c r="F175" s="2">
        <v>0.95</v>
      </c>
    </row>
    <row r="176" spans="1:6" x14ac:dyDescent="0.35">
      <c r="A176" s="3" t="s">
        <v>110</v>
      </c>
      <c r="B176" s="3">
        <v>3</v>
      </c>
      <c r="C176" s="3">
        <v>4</v>
      </c>
      <c r="D176" s="2">
        <v>0.64380000000000004</v>
      </c>
      <c r="E176" s="2">
        <v>3</v>
      </c>
      <c r="F176" s="2">
        <v>0.89</v>
      </c>
    </row>
    <row r="178" spans="1:9" ht="17.5" x14ac:dyDescent="0.35">
      <c r="A178" s="1" t="s">
        <v>111</v>
      </c>
    </row>
    <row r="180" spans="1:9" x14ac:dyDescent="0.35">
      <c r="A180" s="2"/>
      <c r="B180" s="3" t="s">
        <v>42</v>
      </c>
      <c r="C180" s="3" t="s">
        <v>105</v>
      </c>
      <c r="D180" s="3" t="s">
        <v>43</v>
      </c>
      <c r="E180" s="3" t="s">
        <v>105</v>
      </c>
      <c r="F180" s="3" t="s">
        <v>44</v>
      </c>
      <c r="G180" s="3" t="s">
        <v>105</v>
      </c>
      <c r="H180" s="3" t="s">
        <v>45</v>
      </c>
      <c r="I180" s="3" t="s">
        <v>105</v>
      </c>
    </row>
    <row r="181" spans="1:9" x14ac:dyDescent="0.35">
      <c r="A181" s="3" t="s">
        <v>112</v>
      </c>
      <c r="B181" s="2">
        <v>0.65720000000000001</v>
      </c>
      <c r="C181" s="2">
        <v>1.9E-2</v>
      </c>
      <c r="D181" s="2">
        <v>0.1661</v>
      </c>
      <c r="E181" s="2">
        <v>1.6199999999999999E-2</v>
      </c>
      <c r="F181" s="2">
        <v>0.1603</v>
      </c>
      <c r="G181" s="2">
        <v>1.3899999999999999E-2</v>
      </c>
      <c r="H181" s="2">
        <v>1.6500000000000001E-2</v>
      </c>
      <c r="I181" s="2">
        <v>4.4999999999999997E-3</v>
      </c>
    </row>
    <row r="182" spans="1:9" x14ac:dyDescent="0.35">
      <c r="A182" s="3" t="s">
        <v>107</v>
      </c>
      <c r="B182" s="2"/>
      <c r="C182" s="2"/>
      <c r="D182" s="2"/>
      <c r="E182" s="2"/>
      <c r="F182" s="2"/>
      <c r="G182" s="2"/>
      <c r="H182" s="2"/>
      <c r="I182" s="2"/>
    </row>
    <row r="183" spans="1:9" x14ac:dyDescent="0.35">
      <c r="A183" s="3" t="s">
        <v>129</v>
      </c>
      <c r="B183" s="2"/>
      <c r="C183" s="2"/>
      <c r="D183" s="2"/>
      <c r="E183" s="2"/>
      <c r="F183" s="2"/>
      <c r="G183" s="2"/>
      <c r="H183" s="2"/>
      <c r="I183" s="2"/>
    </row>
    <row r="184" spans="1:9" x14ac:dyDescent="0.35">
      <c r="A184" s="3" t="s">
        <v>130</v>
      </c>
      <c r="B184" s="2">
        <v>0.63949999999999996</v>
      </c>
      <c r="C184" s="2" t="s">
        <v>11</v>
      </c>
      <c r="D184" s="2">
        <v>0.60560000000000003</v>
      </c>
      <c r="E184" s="2" t="s">
        <v>11</v>
      </c>
      <c r="F184" s="2">
        <v>0.59840000000000004</v>
      </c>
      <c r="G184" s="2" t="s">
        <v>11</v>
      </c>
      <c r="H184" s="2">
        <v>0.5373</v>
      </c>
      <c r="I184" s="2" t="s">
        <v>11</v>
      </c>
    </row>
    <row r="185" spans="1:9" x14ac:dyDescent="0.35">
      <c r="A185" s="3" t="s">
        <v>131</v>
      </c>
      <c r="B185" s="2">
        <v>0.28239999999999998</v>
      </c>
      <c r="C185" s="2" t="s">
        <v>11</v>
      </c>
      <c r="D185" s="2">
        <v>0.28710000000000002</v>
      </c>
      <c r="E185" s="2" t="s">
        <v>11</v>
      </c>
      <c r="F185" s="2">
        <v>0.2676</v>
      </c>
      <c r="G185" s="2" t="s">
        <v>11</v>
      </c>
      <c r="H185" s="2">
        <v>0.32579999999999998</v>
      </c>
      <c r="I185" s="2" t="s">
        <v>11</v>
      </c>
    </row>
    <row r="186" spans="1:9" x14ac:dyDescent="0.35">
      <c r="A186" s="3" t="s">
        <v>132</v>
      </c>
      <c r="B186" s="2">
        <v>6.7000000000000004E-2</v>
      </c>
      <c r="C186" s="2" t="s">
        <v>11</v>
      </c>
      <c r="D186" s="2">
        <v>7.9299999999999995E-2</v>
      </c>
      <c r="E186" s="2" t="s">
        <v>11</v>
      </c>
      <c r="F186" s="2">
        <v>9.3600000000000003E-2</v>
      </c>
      <c r="G186" s="2" t="s">
        <v>11</v>
      </c>
      <c r="H186" s="2">
        <v>0.1139</v>
      </c>
      <c r="I186" s="2" t="s">
        <v>11</v>
      </c>
    </row>
    <row r="187" spans="1:9" x14ac:dyDescent="0.35">
      <c r="A187" s="3" t="s">
        <v>133</v>
      </c>
      <c r="B187" s="2">
        <v>1.12E-2</v>
      </c>
      <c r="C187" s="2" t="s">
        <v>11</v>
      </c>
      <c r="D187" s="2">
        <v>2.8000000000000001E-2</v>
      </c>
      <c r="E187" s="2" t="s">
        <v>11</v>
      </c>
      <c r="F187" s="2">
        <v>4.0500000000000001E-2</v>
      </c>
      <c r="G187" s="2" t="s">
        <v>11</v>
      </c>
      <c r="H187" s="2">
        <v>2.3E-2</v>
      </c>
      <c r="I187" s="2" t="s">
        <v>11</v>
      </c>
    </row>
    <row r="189" spans="1:9" ht="17.5" x14ac:dyDescent="0.35">
      <c r="A189" s="1" t="s">
        <v>113</v>
      </c>
    </row>
    <row r="191" spans="1:9" x14ac:dyDescent="0.35">
      <c r="A191" s="2"/>
      <c r="B191" s="3" t="s">
        <v>42</v>
      </c>
      <c r="C191" s="3" t="s">
        <v>43</v>
      </c>
      <c r="D191" s="3" t="s">
        <v>44</v>
      </c>
      <c r="E191" s="3" t="s">
        <v>45</v>
      </c>
    </row>
    <row r="192" spans="1:9" x14ac:dyDescent="0.35">
      <c r="A192" s="3" t="s">
        <v>114</v>
      </c>
      <c r="B192" s="2">
        <v>0.65720000000000001</v>
      </c>
      <c r="C192" s="2">
        <v>0.1661</v>
      </c>
      <c r="D192" s="2">
        <v>0.1603</v>
      </c>
      <c r="E192" s="2">
        <v>1.6500000000000001E-2</v>
      </c>
    </row>
    <row r="193" spans="1:9" x14ac:dyDescent="0.35">
      <c r="A193" s="3" t="s">
        <v>107</v>
      </c>
      <c r="B193" s="2"/>
      <c r="C193" s="2"/>
      <c r="D193" s="2"/>
      <c r="E193" s="2"/>
    </row>
    <row r="194" spans="1:9" x14ac:dyDescent="0.35">
      <c r="A194" s="3" t="s">
        <v>129</v>
      </c>
      <c r="B194" s="2"/>
      <c r="C194" s="2"/>
      <c r="D194" s="2"/>
      <c r="E194" s="2"/>
    </row>
    <row r="195" spans="1:9" x14ac:dyDescent="0.35">
      <c r="A195" s="3" t="s">
        <v>130</v>
      </c>
      <c r="B195" s="2">
        <v>0.67179999999999995</v>
      </c>
      <c r="C195" s="2">
        <v>0.1608</v>
      </c>
      <c r="D195" s="2">
        <v>0.15329999999999999</v>
      </c>
      <c r="E195" s="2">
        <v>1.41E-2</v>
      </c>
    </row>
    <row r="196" spans="1:9" x14ac:dyDescent="0.35">
      <c r="A196" s="3" t="s">
        <v>131</v>
      </c>
      <c r="B196" s="2">
        <v>0.65920000000000001</v>
      </c>
      <c r="C196" s="2">
        <v>0.1694</v>
      </c>
      <c r="D196" s="2">
        <v>0.15240000000000001</v>
      </c>
      <c r="E196" s="2">
        <v>1.9E-2</v>
      </c>
    </row>
    <row r="197" spans="1:9" x14ac:dyDescent="0.35">
      <c r="A197" s="3" t="s">
        <v>132</v>
      </c>
      <c r="B197" s="2">
        <v>0.59419999999999995</v>
      </c>
      <c r="C197" s="2">
        <v>0.17780000000000001</v>
      </c>
      <c r="D197" s="2">
        <v>0.2026</v>
      </c>
      <c r="E197" s="2">
        <v>2.53E-2</v>
      </c>
    </row>
    <row r="198" spans="1:9" x14ac:dyDescent="0.35">
      <c r="A198" s="3" t="s">
        <v>133</v>
      </c>
      <c r="B198" s="2">
        <v>0.39040000000000002</v>
      </c>
      <c r="C198" s="2">
        <v>0.24610000000000001</v>
      </c>
      <c r="D198" s="2">
        <v>0.34350000000000003</v>
      </c>
      <c r="E198" s="2">
        <v>0.02</v>
      </c>
    </row>
    <row r="200" spans="1:9" ht="17.5" x14ac:dyDescent="0.35">
      <c r="A200" s="1" t="s">
        <v>115</v>
      </c>
    </row>
    <row r="202" spans="1:9" x14ac:dyDescent="0.35">
      <c r="A202" s="2"/>
      <c r="B202" s="20" t="s">
        <v>110</v>
      </c>
      <c r="C202" s="21"/>
      <c r="D202" s="21"/>
      <c r="E202" s="21"/>
      <c r="F202" s="21"/>
      <c r="G202" s="21"/>
      <c r="H202" s="21"/>
      <c r="I202" s="22"/>
    </row>
    <row r="203" spans="1:9" x14ac:dyDescent="0.35">
      <c r="A203" s="3" t="s">
        <v>129</v>
      </c>
      <c r="B203" s="3">
        <v>1</v>
      </c>
      <c r="C203" s="3" t="s">
        <v>105</v>
      </c>
      <c r="D203" s="3">
        <v>2</v>
      </c>
      <c r="E203" s="3" t="s">
        <v>105</v>
      </c>
      <c r="F203" s="3">
        <v>3</v>
      </c>
      <c r="G203" s="3" t="s">
        <v>105</v>
      </c>
      <c r="H203" s="3">
        <v>4</v>
      </c>
      <c r="I203" s="3" t="s">
        <v>105</v>
      </c>
    </row>
    <row r="204" spans="1:9" x14ac:dyDescent="0.35">
      <c r="A204" s="3" t="s">
        <v>130</v>
      </c>
      <c r="B204" s="2">
        <v>0.67179999999999995</v>
      </c>
      <c r="C204" s="2">
        <v>2.5600000000000001E-2</v>
      </c>
      <c r="D204" s="2">
        <v>0.1608</v>
      </c>
      <c r="E204" s="2">
        <v>2.1899999999999999E-2</v>
      </c>
      <c r="F204" s="2">
        <v>0.15329999999999999</v>
      </c>
      <c r="G204" s="2">
        <v>1.9099999999999999E-2</v>
      </c>
      <c r="H204" s="2">
        <v>1.41E-2</v>
      </c>
      <c r="I204" s="2">
        <v>5.7999999999999996E-3</v>
      </c>
    </row>
    <row r="205" spans="1:9" x14ac:dyDescent="0.35">
      <c r="A205" s="3" t="s">
        <v>131</v>
      </c>
      <c r="B205" s="2">
        <v>0.65920000000000001</v>
      </c>
      <c r="C205" s="2">
        <v>3.2500000000000001E-2</v>
      </c>
      <c r="D205" s="2">
        <v>0.1694</v>
      </c>
      <c r="E205" s="2">
        <v>2.81E-2</v>
      </c>
      <c r="F205" s="2">
        <v>0.15240000000000001</v>
      </c>
      <c r="G205" s="2">
        <v>2.1600000000000001E-2</v>
      </c>
      <c r="H205" s="2">
        <v>1.9E-2</v>
      </c>
      <c r="I205" s="2">
        <v>7.1999999999999998E-3</v>
      </c>
    </row>
    <row r="206" spans="1:9" x14ac:dyDescent="0.35">
      <c r="A206" s="3" t="s">
        <v>132</v>
      </c>
      <c r="B206" s="2">
        <v>0.59419999999999995</v>
      </c>
      <c r="C206" s="2">
        <v>5.67E-2</v>
      </c>
      <c r="D206" s="2">
        <v>0.17780000000000001</v>
      </c>
      <c r="E206" s="2">
        <v>4.3200000000000002E-2</v>
      </c>
      <c r="F206" s="2">
        <v>0.2026</v>
      </c>
      <c r="G206" s="2">
        <v>4.5100000000000001E-2</v>
      </c>
      <c r="H206" s="2">
        <v>2.53E-2</v>
      </c>
      <c r="I206" s="2">
        <v>2.1700000000000001E-2</v>
      </c>
    </row>
    <row r="207" spans="1:9" x14ac:dyDescent="0.35">
      <c r="A207" s="3" t="s">
        <v>133</v>
      </c>
      <c r="B207" s="2">
        <v>0.39040000000000002</v>
      </c>
      <c r="C207" s="2">
        <v>7.2599999999999998E-2</v>
      </c>
      <c r="D207" s="2">
        <v>0.24610000000000001</v>
      </c>
      <c r="E207" s="2">
        <v>6.5299999999999997E-2</v>
      </c>
      <c r="F207" s="2">
        <v>0.34350000000000003</v>
      </c>
      <c r="G207" s="2">
        <v>9.5899999999999999E-2</v>
      </c>
      <c r="H207" s="2">
        <v>0.02</v>
      </c>
      <c r="I207" s="2">
        <v>1.89E-2</v>
      </c>
    </row>
    <row r="208" spans="1:9" x14ac:dyDescent="0.35">
      <c r="A208" s="23"/>
      <c r="B208" s="24"/>
      <c r="C208" s="24"/>
      <c r="D208" s="24"/>
      <c r="E208" s="24"/>
      <c r="F208" s="24"/>
      <c r="G208" s="24"/>
      <c r="H208" s="24"/>
      <c r="I208" s="25"/>
    </row>
    <row r="209" spans="1:9" x14ac:dyDescent="0.35">
      <c r="A209" s="2"/>
      <c r="B209" s="20" t="s">
        <v>116</v>
      </c>
      <c r="C209" s="21"/>
      <c r="D209" s="21"/>
      <c r="E209" s="21"/>
      <c r="F209" s="21"/>
      <c r="G209" s="21"/>
      <c r="H209" s="21"/>
      <c r="I209" s="22"/>
    </row>
    <row r="210" spans="1:9" x14ac:dyDescent="0.35">
      <c r="A210" s="3" t="s">
        <v>110</v>
      </c>
      <c r="B210" s="3" t="s">
        <v>88</v>
      </c>
      <c r="C210" s="3" t="s">
        <v>105</v>
      </c>
      <c r="D210" s="3" t="s">
        <v>90</v>
      </c>
      <c r="E210" s="3" t="s">
        <v>105</v>
      </c>
      <c r="F210" s="3" t="s">
        <v>91</v>
      </c>
      <c r="G210" s="3" t="s">
        <v>105</v>
      </c>
      <c r="H210" s="3" t="s">
        <v>92</v>
      </c>
      <c r="I210" s="3" t="s">
        <v>105</v>
      </c>
    </row>
    <row r="211" spans="1:9" x14ac:dyDescent="0.35">
      <c r="A211" s="3">
        <v>1</v>
      </c>
      <c r="B211" s="2">
        <v>0.95289999999999997</v>
      </c>
      <c r="C211" s="2" t="s">
        <v>11</v>
      </c>
      <c r="D211" s="2">
        <v>3.7100000000000001E-2</v>
      </c>
      <c r="E211" s="2" t="s">
        <v>11</v>
      </c>
      <c r="F211" s="2">
        <v>9.4999999999999998E-3</v>
      </c>
      <c r="G211" s="2" t="s">
        <v>11</v>
      </c>
      <c r="H211" s="2">
        <v>5.0000000000000001E-4</v>
      </c>
      <c r="I211" s="2" t="s">
        <v>11</v>
      </c>
    </row>
    <row r="212" spans="1:9" x14ac:dyDescent="0.35">
      <c r="A212" s="3">
        <v>2</v>
      </c>
      <c r="B212" s="2">
        <v>0.1469</v>
      </c>
      <c r="C212" s="2" t="s">
        <v>11</v>
      </c>
      <c r="D212" s="2">
        <v>0.80220000000000002</v>
      </c>
      <c r="E212" s="2" t="s">
        <v>11</v>
      </c>
      <c r="F212" s="2">
        <v>5.0700000000000002E-2</v>
      </c>
      <c r="G212" s="2" t="s">
        <v>11</v>
      </c>
      <c r="H212" s="2">
        <v>2.0000000000000001E-4</v>
      </c>
      <c r="I212" s="2" t="s">
        <v>11</v>
      </c>
    </row>
    <row r="213" spans="1:9" x14ac:dyDescent="0.35">
      <c r="A213" s="3">
        <v>3</v>
      </c>
      <c r="B213" s="2">
        <v>3.8800000000000001E-2</v>
      </c>
      <c r="C213" s="2" t="s">
        <v>11</v>
      </c>
      <c r="D213" s="2">
        <v>5.2499999999999998E-2</v>
      </c>
      <c r="E213" s="2" t="s">
        <v>11</v>
      </c>
      <c r="F213" s="2">
        <v>0.90569999999999995</v>
      </c>
      <c r="G213" s="2" t="s">
        <v>11</v>
      </c>
      <c r="H213" s="2">
        <v>3.0000000000000001E-3</v>
      </c>
      <c r="I213" s="2" t="s">
        <v>11</v>
      </c>
    </row>
    <row r="214" spans="1:9" x14ac:dyDescent="0.35">
      <c r="A214" s="3">
        <v>4</v>
      </c>
      <c r="B214" s="2">
        <v>1.9400000000000001E-2</v>
      </c>
      <c r="C214" s="2" t="s">
        <v>11</v>
      </c>
      <c r="D214" s="2">
        <v>2E-3</v>
      </c>
      <c r="E214" s="2" t="s">
        <v>11</v>
      </c>
      <c r="F214" s="2">
        <v>2.9399999999999999E-2</v>
      </c>
      <c r="G214" s="2" t="s">
        <v>11</v>
      </c>
      <c r="H214" s="2">
        <v>0.94920000000000004</v>
      </c>
      <c r="I214" s="2" t="s">
        <v>11</v>
      </c>
    </row>
  </sheetData>
  <mergeCells count="5">
    <mergeCell ref="A3:F3"/>
    <mergeCell ref="B69:F69"/>
    <mergeCell ref="B202:I202"/>
    <mergeCell ref="A208:I208"/>
    <mergeCell ref="B209:I209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P304"/>
  <sheetViews>
    <sheetView topLeftCell="A273" workbookViewId="0">
      <selection activeCell="N202" sqref="N202"/>
    </sheetView>
  </sheetViews>
  <sheetFormatPr defaultColWidth="36.26953125" defaultRowHeight="14.5" x14ac:dyDescent="0.35"/>
  <cols>
    <col min="1" max="1" width="34.1796875" bestFit="1" customWidth="1"/>
    <col min="2" max="2" width="12.1796875" bestFit="1" customWidth="1"/>
    <col min="3" max="4" width="9.54296875" bestFit="1" customWidth="1"/>
    <col min="5" max="5" width="8.54296875" bestFit="1" customWidth="1"/>
    <col min="6" max="6" width="9.54296875" bestFit="1" customWidth="1"/>
    <col min="7" max="7" width="7.26953125" bestFit="1" customWidth="1"/>
    <col min="8" max="8" width="8.26953125" bestFit="1" customWidth="1"/>
    <col min="9" max="9" width="6.54296875" bestFit="1" customWidth="1"/>
    <col min="10" max="10" width="7.26953125" bestFit="1" customWidth="1"/>
    <col min="11" max="11" width="8.26953125" bestFit="1" customWidth="1"/>
    <col min="12" max="12" width="6.54296875" bestFit="1" customWidth="1"/>
    <col min="13" max="13" width="7.26953125" bestFit="1" customWidth="1"/>
    <col min="14" max="14" width="7.54296875" bestFit="1" customWidth="1"/>
    <col min="15" max="15" width="6.54296875" bestFit="1" customWidth="1"/>
  </cols>
  <sheetData>
    <row r="1" spans="1:6" ht="17.5" x14ac:dyDescent="0.35">
      <c r="A1" s="1" t="s">
        <v>147</v>
      </c>
    </row>
    <row r="3" spans="1:6" x14ac:dyDescent="0.35">
      <c r="A3" s="20" t="s">
        <v>0</v>
      </c>
      <c r="B3" s="21"/>
      <c r="C3" s="21"/>
      <c r="D3" s="21"/>
      <c r="E3" s="21"/>
      <c r="F3" s="22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13388</v>
      </c>
      <c r="C5" s="2"/>
      <c r="D5" s="2"/>
      <c r="E5" s="2"/>
      <c r="F5" s="2"/>
    </row>
    <row r="6" spans="1:6" x14ac:dyDescent="0.35">
      <c r="A6" s="3" t="s">
        <v>2</v>
      </c>
      <c r="B6" s="2">
        <v>6</v>
      </c>
      <c r="C6" s="2"/>
      <c r="D6" s="2"/>
      <c r="E6" s="2"/>
      <c r="F6" s="2"/>
    </row>
    <row r="7" spans="1:6" x14ac:dyDescent="0.35">
      <c r="A7" s="3" t="s">
        <v>3</v>
      </c>
      <c r="B7" s="2">
        <v>15.0639</v>
      </c>
      <c r="C7" s="2"/>
      <c r="D7" s="2"/>
      <c r="E7" s="2"/>
      <c r="F7" s="2"/>
    </row>
    <row r="8" spans="1:6" x14ac:dyDescent="0.35">
      <c r="A8" s="3" t="s">
        <v>4</v>
      </c>
      <c r="B8" s="2">
        <v>15.0639</v>
      </c>
      <c r="C8" s="2"/>
      <c r="D8" s="2"/>
      <c r="E8" s="2"/>
      <c r="F8" s="2"/>
    </row>
    <row r="9" spans="1:6" x14ac:dyDescent="0.35">
      <c r="A9" s="3" t="s">
        <v>5</v>
      </c>
      <c r="B9" s="2">
        <v>1680</v>
      </c>
      <c r="C9" s="2"/>
      <c r="D9" s="2"/>
      <c r="E9" s="2"/>
      <c r="F9" s="2"/>
    </row>
    <row r="10" spans="1:6" x14ac:dyDescent="0.35">
      <c r="A10" s="3" t="s">
        <v>6</v>
      </c>
      <c r="B10" s="2">
        <v>1680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150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513.00480000000005</v>
      </c>
      <c r="C14" s="4">
        <v>3.2000000000000001E-41</v>
      </c>
      <c r="D14" s="2"/>
      <c r="E14" s="2"/>
      <c r="F14" s="2"/>
    </row>
    <row r="15" spans="1:6" x14ac:dyDescent="0.35">
      <c r="A15" s="3" t="s">
        <v>12</v>
      </c>
      <c r="B15" s="2">
        <v>529.49549999999999</v>
      </c>
      <c r="C15" s="4">
        <v>8.6000000000000003E-44</v>
      </c>
      <c r="D15" s="2"/>
      <c r="E15" s="2"/>
      <c r="F15" s="2"/>
    </row>
    <row r="16" spans="1:6" x14ac:dyDescent="0.35">
      <c r="A16" s="3" t="s">
        <v>13</v>
      </c>
      <c r="B16" s="2">
        <v>497.3261</v>
      </c>
      <c r="C16" s="4">
        <v>8.1999999999999996E-39</v>
      </c>
      <c r="D16" s="2"/>
      <c r="E16" s="2"/>
      <c r="F16" s="2"/>
    </row>
    <row r="17" spans="1:6" x14ac:dyDescent="0.35">
      <c r="A17" s="3" t="s">
        <v>14</v>
      </c>
      <c r="B17" s="2">
        <v>-912.31230000000005</v>
      </c>
      <c r="C17" s="2"/>
      <c r="D17" s="2"/>
      <c r="E17" s="2"/>
      <c r="F17" s="2"/>
    </row>
    <row r="18" spans="1:6" x14ac:dyDescent="0.35">
      <c r="A18" s="3" t="s">
        <v>15</v>
      </c>
      <c r="B18" s="2">
        <v>213.00479999999999</v>
      </c>
      <c r="C18" s="2"/>
      <c r="D18" s="2"/>
      <c r="E18" s="2"/>
      <c r="F18" s="2"/>
    </row>
    <row r="19" spans="1:6" x14ac:dyDescent="0.35">
      <c r="A19" s="3" t="s">
        <v>16</v>
      </c>
      <c r="B19" s="2">
        <v>63.004800000000003</v>
      </c>
      <c r="C19" s="2"/>
      <c r="D19" s="2"/>
      <c r="E19" s="2"/>
      <c r="F19" s="2"/>
    </row>
    <row r="20" spans="1:6" x14ac:dyDescent="0.35">
      <c r="A20" s="3" t="s">
        <v>17</v>
      </c>
      <c r="B20" s="2">
        <v>-1062.3123000000001</v>
      </c>
      <c r="C20" s="2"/>
      <c r="D20" s="2"/>
      <c r="E20" s="2"/>
      <c r="F20" s="2"/>
    </row>
    <row r="21" spans="1:6" x14ac:dyDescent="0.35">
      <c r="A21" s="3" t="s">
        <v>18</v>
      </c>
      <c r="B21" s="2">
        <v>-435.6266</v>
      </c>
      <c r="C21" s="2"/>
      <c r="D21" s="2"/>
      <c r="E21" s="2"/>
      <c r="F21" s="2"/>
    </row>
    <row r="22" spans="1:6" x14ac:dyDescent="0.35">
      <c r="A22" s="3" t="s">
        <v>19</v>
      </c>
      <c r="B22" s="2">
        <v>1.8100000000000002E-2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-12442.6862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-12442.6862</v>
      </c>
      <c r="C27" s="2"/>
      <c r="D27" s="2"/>
      <c r="E27" s="2"/>
      <c r="F27" s="2"/>
    </row>
    <row r="28" spans="1:6" x14ac:dyDescent="0.35">
      <c r="A28" s="3" t="s">
        <v>24</v>
      </c>
      <c r="B28" s="2">
        <v>24942.384999999998</v>
      </c>
      <c r="C28" s="2"/>
      <c r="D28" s="2"/>
      <c r="E28" s="2"/>
      <c r="F28" s="2"/>
    </row>
    <row r="29" spans="1:6" x14ac:dyDescent="0.35">
      <c r="A29" s="3" t="s">
        <v>25</v>
      </c>
      <c r="B29" s="2">
        <v>24897.372299999999</v>
      </c>
      <c r="C29" s="2"/>
      <c r="D29" s="2"/>
      <c r="E29" s="2"/>
      <c r="F29" s="2"/>
    </row>
    <row r="30" spans="1:6" x14ac:dyDescent="0.35">
      <c r="A30" s="3" t="s">
        <v>26</v>
      </c>
      <c r="B30" s="2">
        <v>24903.372299999999</v>
      </c>
      <c r="C30" s="2"/>
      <c r="D30" s="2"/>
      <c r="E30" s="2"/>
      <c r="F30" s="2"/>
    </row>
    <row r="31" spans="1:6" x14ac:dyDescent="0.35">
      <c r="A31" s="3" t="s">
        <v>27</v>
      </c>
      <c r="B31" s="2">
        <v>24948.384999999998</v>
      </c>
      <c r="C31" s="2"/>
      <c r="D31" s="2"/>
      <c r="E31" s="2"/>
      <c r="F31" s="2"/>
    </row>
    <row r="32" spans="1:6" x14ac:dyDescent="0.35">
      <c r="A32" s="3" t="s">
        <v>28</v>
      </c>
      <c r="B32" s="2">
        <v>24923.317599999998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0.34279999999999999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7.1000000000000004E-3</v>
      </c>
      <c r="C38" s="2"/>
      <c r="D38" s="2"/>
      <c r="E38" s="2"/>
      <c r="F38" s="2"/>
    </row>
    <row r="39" spans="1:6" x14ac:dyDescent="0.35">
      <c r="A39" s="3" t="s">
        <v>33</v>
      </c>
      <c r="B39" s="2">
        <v>6.4999999999999997E-3</v>
      </c>
      <c r="C39" s="2"/>
      <c r="D39" s="2"/>
      <c r="E39" s="2"/>
      <c r="F39" s="2"/>
    </row>
    <row r="40" spans="1:6" x14ac:dyDescent="0.35">
      <c r="A40" s="3" t="s">
        <v>34</v>
      </c>
      <c r="B40" s="2">
        <v>-24872.855</v>
      </c>
      <c r="C40" s="2"/>
      <c r="D40" s="2"/>
      <c r="E40" s="2"/>
      <c r="F40" s="2"/>
    </row>
    <row r="41" spans="1:6" x14ac:dyDescent="0.35">
      <c r="A41" s="3" t="s">
        <v>35</v>
      </c>
      <c r="B41" s="2">
        <v>12430.168900000001</v>
      </c>
      <c r="C41" s="2"/>
      <c r="D41" s="2"/>
      <c r="E41" s="2"/>
      <c r="F41" s="2"/>
    </row>
    <row r="42" spans="1:6" x14ac:dyDescent="0.35">
      <c r="A42" s="3" t="s">
        <v>36</v>
      </c>
      <c r="B42" s="2">
        <v>49745.710099999997</v>
      </c>
      <c r="C42" s="2"/>
      <c r="D42" s="2"/>
      <c r="E42" s="2"/>
      <c r="F42" s="2"/>
    </row>
    <row r="43" spans="1:6" x14ac:dyDescent="0.35">
      <c r="A43" s="3" t="s">
        <v>37</v>
      </c>
      <c r="B43" s="2">
        <v>49877.735500000003</v>
      </c>
      <c r="C43" s="2"/>
      <c r="D43" s="2"/>
      <c r="E43" s="2"/>
      <c r="F43" s="2"/>
    </row>
    <row r="44" spans="1:6" x14ac:dyDescent="0.35">
      <c r="A44" s="3" t="s">
        <v>38</v>
      </c>
      <c r="B44" s="2">
        <v>49802.722800000003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8798.4367999999995</v>
      </c>
      <c r="C48" s="2">
        <v>0</v>
      </c>
      <c r="D48" s="2">
        <v>0</v>
      </c>
      <c r="E48" s="2">
        <v>0</v>
      </c>
      <c r="F48" s="2">
        <v>8798.4367999999995</v>
      </c>
    </row>
    <row r="49" spans="1:6" x14ac:dyDescent="0.35">
      <c r="A49" s="3" t="s">
        <v>43</v>
      </c>
      <c r="B49" s="2">
        <v>2223.7197999999999</v>
      </c>
      <c r="C49" s="2">
        <v>0</v>
      </c>
      <c r="D49" s="2">
        <v>0</v>
      </c>
      <c r="E49" s="2">
        <v>0</v>
      </c>
      <c r="F49" s="2">
        <v>2223.7197999999999</v>
      </c>
    </row>
    <row r="50" spans="1:6" x14ac:dyDescent="0.35">
      <c r="A50" s="3" t="s">
        <v>44</v>
      </c>
      <c r="B50" s="2">
        <v>2145.5344</v>
      </c>
      <c r="C50" s="2">
        <v>0</v>
      </c>
      <c r="D50" s="2">
        <v>0</v>
      </c>
      <c r="E50" s="2">
        <v>0</v>
      </c>
      <c r="F50" s="2">
        <v>2145.5344</v>
      </c>
    </row>
    <row r="51" spans="1:6" x14ac:dyDescent="0.35">
      <c r="A51" s="3" t="s">
        <v>45</v>
      </c>
      <c r="B51" s="2">
        <v>220.309</v>
      </c>
      <c r="C51" s="2">
        <v>0</v>
      </c>
      <c r="D51" s="2">
        <v>0</v>
      </c>
      <c r="E51" s="2">
        <v>0</v>
      </c>
      <c r="F51" s="2">
        <v>220.309</v>
      </c>
    </row>
    <row r="52" spans="1:6" x14ac:dyDescent="0.35">
      <c r="A52" s="3" t="s">
        <v>46</v>
      </c>
      <c r="B52" s="2">
        <v>13388</v>
      </c>
      <c r="C52" s="2">
        <v>0</v>
      </c>
      <c r="D52" s="2">
        <v>0</v>
      </c>
      <c r="E52" s="2">
        <v>0</v>
      </c>
      <c r="F52" s="2">
        <v>13388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5811.5397000000003</v>
      </c>
      <c r="C56" s="2">
        <v>1458.8768</v>
      </c>
      <c r="D56" s="2">
        <v>1389.7139999999999</v>
      </c>
      <c r="E56" s="2">
        <v>138.30629999999999</v>
      </c>
      <c r="F56" s="2">
        <v>8798.4367999999995</v>
      </c>
    </row>
    <row r="57" spans="1:6" x14ac:dyDescent="0.35">
      <c r="A57" s="3" t="s">
        <v>43</v>
      </c>
      <c r="B57" s="2">
        <v>1458.8768</v>
      </c>
      <c r="C57" s="2">
        <v>369.58100000000002</v>
      </c>
      <c r="D57" s="2">
        <v>358.11869999999999</v>
      </c>
      <c r="E57" s="2">
        <v>37.1432</v>
      </c>
      <c r="F57" s="2">
        <v>2223.7197999999999</v>
      </c>
    </row>
    <row r="58" spans="1:6" x14ac:dyDescent="0.35">
      <c r="A58" s="3" t="s">
        <v>44</v>
      </c>
      <c r="B58" s="2">
        <v>1389.7139999999999</v>
      </c>
      <c r="C58" s="2">
        <v>358.11869999999999</v>
      </c>
      <c r="D58" s="2">
        <v>357.90719999999999</v>
      </c>
      <c r="E58" s="2">
        <v>39.794400000000003</v>
      </c>
      <c r="F58" s="2">
        <v>2145.5344</v>
      </c>
    </row>
    <row r="59" spans="1:6" x14ac:dyDescent="0.35">
      <c r="A59" s="3" t="s">
        <v>45</v>
      </c>
      <c r="B59" s="2">
        <v>138.30629999999999</v>
      </c>
      <c r="C59" s="2">
        <v>37.1432</v>
      </c>
      <c r="D59" s="2">
        <v>39.794400000000003</v>
      </c>
      <c r="E59" s="2">
        <v>5.0650000000000004</v>
      </c>
      <c r="F59" s="2">
        <v>220.309</v>
      </c>
    </row>
    <row r="60" spans="1:6" x14ac:dyDescent="0.35">
      <c r="A60" s="3" t="s">
        <v>46</v>
      </c>
      <c r="B60" s="2">
        <v>8798.4367999999995</v>
      </c>
      <c r="C60" s="2">
        <v>2223.7197999999999</v>
      </c>
      <c r="D60" s="2">
        <v>2145.5344</v>
      </c>
      <c r="E60" s="2">
        <v>220.309</v>
      </c>
      <c r="F60" s="2">
        <v>13388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0.34279999999999999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7.1000000000000004E-3</v>
      </c>
      <c r="C65" s="2"/>
      <c r="D65" s="2"/>
      <c r="E65" s="2"/>
      <c r="F65" s="2"/>
    </row>
    <row r="66" spans="1:6" x14ac:dyDescent="0.35">
      <c r="A66" s="3" t="s">
        <v>33</v>
      </c>
      <c r="B66" s="2">
        <v>6.4999999999999997E-3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23" t="s">
        <v>135</v>
      </c>
      <c r="C69" s="24"/>
      <c r="D69" s="24"/>
      <c r="E69" s="24"/>
      <c r="F69" s="25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52</v>
      </c>
      <c r="B71" s="2"/>
      <c r="C71" s="2"/>
      <c r="D71" s="2"/>
      <c r="E71" s="2"/>
      <c r="F71" s="2"/>
    </row>
    <row r="72" spans="1:6" x14ac:dyDescent="0.35">
      <c r="A72" s="3" t="s">
        <v>53</v>
      </c>
      <c r="B72" s="2">
        <v>4</v>
      </c>
      <c r="C72" s="2"/>
      <c r="D72" s="2"/>
      <c r="E72" s="2"/>
      <c r="F72" s="2"/>
    </row>
    <row r="73" spans="1:6" x14ac:dyDescent="0.35">
      <c r="A73" s="3" t="s">
        <v>54</v>
      </c>
      <c r="B73" s="2"/>
      <c r="C73" s="2"/>
      <c r="D73" s="2"/>
      <c r="E73" s="2"/>
      <c r="F73" s="2"/>
    </row>
    <row r="74" spans="1:6" x14ac:dyDescent="0.35">
      <c r="A74" s="3" t="s">
        <v>55</v>
      </c>
      <c r="B74" s="4">
        <v>1E-8</v>
      </c>
      <c r="C74" s="2"/>
      <c r="D74" s="2"/>
      <c r="E74" s="2"/>
      <c r="F74" s="2"/>
    </row>
    <row r="75" spans="1:6" x14ac:dyDescent="0.35">
      <c r="A75" s="3" t="s">
        <v>56</v>
      </c>
      <c r="B75" s="2">
        <v>0.01</v>
      </c>
      <c r="C75" s="2"/>
      <c r="D75" s="2"/>
      <c r="E75" s="2"/>
      <c r="F75" s="2"/>
    </row>
    <row r="76" spans="1:6" x14ac:dyDescent="0.35">
      <c r="A76" s="3" t="s">
        <v>57</v>
      </c>
      <c r="B76" s="2">
        <v>250</v>
      </c>
      <c r="C76" s="2"/>
      <c r="D76" s="2"/>
      <c r="E76" s="2"/>
      <c r="F76" s="2"/>
    </row>
    <row r="77" spans="1:6" x14ac:dyDescent="0.35">
      <c r="A77" s="3" t="s">
        <v>58</v>
      </c>
      <c r="B77" s="2">
        <v>50</v>
      </c>
      <c r="C77" s="2"/>
      <c r="D77" s="2"/>
      <c r="E77" s="2"/>
      <c r="F77" s="2"/>
    </row>
    <row r="78" spans="1:6" x14ac:dyDescent="0.35">
      <c r="A78" s="3" t="s">
        <v>59</v>
      </c>
      <c r="B78" s="2"/>
      <c r="C78" s="2"/>
      <c r="D78" s="2"/>
      <c r="E78" s="2"/>
      <c r="F78" s="2"/>
    </row>
    <row r="79" spans="1:6" x14ac:dyDescent="0.35">
      <c r="A79" s="3" t="s">
        <v>60</v>
      </c>
      <c r="B79" s="2">
        <v>1680</v>
      </c>
      <c r="C79" s="2"/>
      <c r="D79" s="2"/>
      <c r="E79" s="2"/>
      <c r="F79" s="2"/>
    </row>
    <row r="80" spans="1:6" x14ac:dyDescent="0.35">
      <c r="A80" s="3" t="s">
        <v>61</v>
      </c>
      <c r="B80" s="2">
        <v>0</v>
      </c>
      <c r="C80" s="2"/>
      <c r="D80" s="2"/>
      <c r="E80" s="2"/>
      <c r="F80" s="2"/>
    </row>
    <row r="81" spans="1:6" x14ac:dyDescent="0.3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62</v>
      </c>
      <c r="B82" s="2">
        <v>150</v>
      </c>
      <c r="C82" s="2"/>
      <c r="D82" s="2"/>
      <c r="E82" s="2"/>
      <c r="F82" s="2"/>
    </row>
    <row r="83" spans="1:6" x14ac:dyDescent="0.35">
      <c r="A83" s="3" t="s">
        <v>63</v>
      </c>
      <c r="B83" s="2"/>
      <c r="C83" s="2"/>
      <c r="D83" s="2"/>
      <c r="E83" s="2"/>
      <c r="F83" s="2"/>
    </row>
    <row r="84" spans="1:6" x14ac:dyDescent="0.35">
      <c r="A84" s="3" t="s">
        <v>64</v>
      </c>
      <c r="B84" s="2">
        <v>1</v>
      </c>
      <c r="C84" s="2"/>
      <c r="D84" s="2"/>
      <c r="E84" s="2"/>
      <c r="F84" s="2"/>
    </row>
    <row r="85" spans="1:6" x14ac:dyDescent="0.35">
      <c r="A85" s="3" t="s">
        <v>65</v>
      </c>
      <c r="B85" s="2">
        <v>1</v>
      </c>
      <c r="C85" s="2"/>
      <c r="D85" s="2"/>
      <c r="E85" s="2"/>
      <c r="F85" s="2"/>
    </row>
    <row r="86" spans="1:6" x14ac:dyDescent="0.35">
      <c r="A86" s="3" t="s">
        <v>66</v>
      </c>
      <c r="B86" s="2">
        <v>0</v>
      </c>
      <c r="C86" s="2"/>
      <c r="D86" s="2"/>
      <c r="E86" s="2"/>
      <c r="F86" s="2"/>
    </row>
    <row r="87" spans="1:6" x14ac:dyDescent="0.35">
      <c r="A87" s="3" t="s">
        <v>67</v>
      </c>
      <c r="B87" s="2">
        <v>1</v>
      </c>
      <c r="C87" s="2"/>
      <c r="D87" s="2"/>
      <c r="E87" s="2"/>
      <c r="F87" s="2"/>
    </row>
    <row r="88" spans="1:6" x14ac:dyDescent="0.35">
      <c r="A88" s="3" t="s">
        <v>68</v>
      </c>
      <c r="B88" s="2"/>
      <c r="C88" s="2"/>
      <c r="D88" s="2"/>
      <c r="E88" s="2"/>
      <c r="F88" s="2"/>
    </row>
    <row r="89" spans="1:6" x14ac:dyDescent="0.35">
      <c r="A89" s="3" t="s">
        <v>69</v>
      </c>
      <c r="B89" s="2">
        <v>10</v>
      </c>
      <c r="C89" s="2"/>
      <c r="D89" s="2"/>
      <c r="E89" s="2"/>
      <c r="F89" s="2"/>
    </row>
    <row r="90" spans="1:6" x14ac:dyDescent="0.3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35">
      <c r="A91" s="3" t="s">
        <v>72</v>
      </c>
      <c r="B91" s="2"/>
      <c r="C91" s="2"/>
      <c r="D91" s="2"/>
      <c r="E91" s="2"/>
      <c r="F91" s="2"/>
    </row>
    <row r="92" spans="1:6" x14ac:dyDescent="0.3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3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3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35">
      <c r="A95" s="3" t="s">
        <v>79</v>
      </c>
      <c r="B95" s="2"/>
      <c r="C95" s="2"/>
      <c r="D95" s="2"/>
      <c r="E95" s="2"/>
      <c r="F95" s="2"/>
    </row>
    <row r="96" spans="1:6" x14ac:dyDescent="0.3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3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35">
      <c r="A98" s="3" t="s">
        <v>84</v>
      </c>
      <c r="B98" s="2">
        <v>13388</v>
      </c>
      <c r="C98" s="2"/>
      <c r="D98" s="2"/>
      <c r="E98" s="2"/>
      <c r="F98" s="2"/>
    </row>
    <row r="99" spans="1:6" x14ac:dyDescent="0.3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86</v>
      </c>
      <c r="B101" s="2"/>
      <c r="C101" s="2"/>
      <c r="D101" s="2"/>
      <c r="E101" s="2"/>
      <c r="F101" s="2"/>
    </row>
    <row r="102" spans="1:6" x14ac:dyDescent="0.35">
      <c r="A102" s="3" t="s">
        <v>87</v>
      </c>
      <c r="B102" s="2"/>
      <c r="C102" s="2"/>
      <c r="D102" s="2"/>
      <c r="E102" s="2"/>
      <c r="F102" s="2"/>
    </row>
    <row r="103" spans="1:6" x14ac:dyDescent="0.35">
      <c r="A103" s="3" t="s">
        <v>88</v>
      </c>
      <c r="B103" s="2"/>
      <c r="C103" s="2">
        <v>711</v>
      </c>
      <c r="D103" s="2"/>
      <c r="E103" s="2"/>
      <c r="F103" s="2"/>
    </row>
    <row r="104" spans="1:6" x14ac:dyDescent="0.3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3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3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3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35">
      <c r="A108" s="3" t="s">
        <v>89</v>
      </c>
      <c r="B108" s="2"/>
      <c r="C108" s="2"/>
      <c r="D108" s="2"/>
      <c r="E108" s="2"/>
      <c r="F108" s="2"/>
    </row>
    <row r="109" spans="1:6" x14ac:dyDescent="0.3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3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3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35">
      <c r="A112" s="3" t="s">
        <v>90</v>
      </c>
      <c r="B112" s="2"/>
      <c r="C112" s="2">
        <v>711</v>
      </c>
      <c r="D112" s="2"/>
      <c r="E112" s="2"/>
      <c r="F112" s="2"/>
    </row>
    <row r="113" spans="1:6" x14ac:dyDescent="0.3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3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3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3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35">
      <c r="A117" s="3" t="s">
        <v>89</v>
      </c>
      <c r="B117" s="2"/>
      <c r="C117" s="2"/>
      <c r="D117" s="2"/>
      <c r="E117" s="2"/>
      <c r="F117" s="2"/>
    </row>
    <row r="118" spans="1:6" x14ac:dyDescent="0.3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3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35">
      <c r="A121" s="3" t="s">
        <v>91</v>
      </c>
      <c r="B121" s="2"/>
      <c r="C121" s="2">
        <v>711</v>
      </c>
      <c r="D121" s="2"/>
      <c r="E121" s="2"/>
      <c r="F121" s="2"/>
    </row>
    <row r="122" spans="1:6" x14ac:dyDescent="0.3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3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3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3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35">
      <c r="A126" s="3" t="s">
        <v>89</v>
      </c>
      <c r="B126" s="2"/>
      <c r="C126" s="2"/>
      <c r="D126" s="2"/>
      <c r="E126" s="2"/>
      <c r="F126" s="2"/>
    </row>
    <row r="127" spans="1:6" x14ac:dyDescent="0.3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3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3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35">
      <c r="A130" s="3" t="s">
        <v>92</v>
      </c>
      <c r="B130" s="2"/>
      <c r="C130" s="2">
        <v>711</v>
      </c>
      <c r="D130" s="2"/>
      <c r="E130" s="2"/>
      <c r="F130" s="2"/>
    </row>
    <row r="131" spans="1:6" x14ac:dyDescent="0.3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3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3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3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35">
      <c r="A135" s="3" t="s">
        <v>89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3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3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35">
      <c r="A139" s="3" t="s">
        <v>93</v>
      </c>
      <c r="B139" s="2"/>
      <c r="C139" s="2"/>
      <c r="D139" s="2"/>
      <c r="E139" s="2"/>
      <c r="F139" s="2"/>
    </row>
    <row r="140" spans="1:6" x14ac:dyDescent="0.35">
      <c r="A140" s="3" t="s">
        <v>148</v>
      </c>
      <c r="B140" s="2" t="s">
        <v>125</v>
      </c>
      <c r="C140" s="2">
        <v>52</v>
      </c>
      <c r="D140" s="2"/>
      <c r="E140" s="2"/>
      <c r="F140" s="2"/>
    </row>
    <row r="141" spans="1:6" x14ac:dyDescent="0.35">
      <c r="A141" s="3">
        <v>0</v>
      </c>
      <c r="B141" s="2">
        <v>0</v>
      </c>
      <c r="C141" s="2">
        <v>0</v>
      </c>
      <c r="D141" s="2"/>
      <c r="E141" s="2"/>
      <c r="F141" s="2"/>
    </row>
    <row r="142" spans="1:6" x14ac:dyDescent="0.35">
      <c r="A142" s="3">
        <v>1</v>
      </c>
      <c r="B142" s="2">
        <v>1</v>
      </c>
      <c r="C142" s="2">
        <v>1</v>
      </c>
      <c r="D142" s="2"/>
      <c r="E142" s="2"/>
      <c r="F142" s="2"/>
    </row>
    <row r="143" spans="1:6" x14ac:dyDescent="0.35">
      <c r="A143" s="3">
        <v>2</v>
      </c>
      <c r="B143" s="2">
        <v>2</v>
      </c>
      <c r="C143" s="2">
        <v>2</v>
      </c>
      <c r="D143" s="2"/>
      <c r="E143" s="2"/>
      <c r="F143" s="2"/>
    </row>
    <row r="144" spans="1:6" x14ac:dyDescent="0.35">
      <c r="A144" s="3">
        <v>4</v>
      </c>
      <c r="B144" s="2">
        <v>4</v>
      </c>
      <c r="C144" s="2">
        <v>4</v>
      </c>
      <c r="D144" s="2"/>
      <c r="E144" s="2"/>
      <c r="F144" s="2"/>
    </row>
    <row r="145" spans="1:6" x14ac:dyDescent="0.35">
      <c r="A145" s="3">
        <v>5</v>
      </c>
      <c r="B145" s="2">
        <v>5</v>
      </c>
      <c r="C145" s="2">
        <v>5</v>
      </c>
      <c r="D145" s="2"/>
      <c r="E145" s="2"/>
      <c r="F145" s="2"/>
    </row>
    <row r="146" spans="1:6" x14ac:dyDescent="0.35">
      <c r="A146" s="3">
        <v>7</v>
      </c>
      <c r="B146" s="2">
        <v>7</v>
      </c>
      <c r="C146" s="2">
        <v>7</v>
      </c>
      <c r="D146" s="2"/>
      <c r="E146" s="2"/>
      <c r="F146" s="2"/>
    </row>
    <row r="147" spans="1:6" x14ac:dyDescent="0.35">
      <c r="A147" s="3">
        <v>8</v>
      </c>
      <c r="B147" s="2">
        <v>8</v>
      </c>
      <c r="C147" s="2">
        <v>8</v>
      </c>
      <c r="D147" s="2"/>
      <c r="E147" s="2"/>
      <c r="F147" s="2"/>
    </row>
    <row r="148" spans="1:6" x14ac:dyDescent="0.35">
      <c r="A148" s="3">
        <v>10</v>
      </c>
      <c r="B148" s="2">
        <v>10</v>
      </c>
      <c r="C148" s="2">
        <v>10</v>
      </c>
      <c r="D148" s="2"/>
      <c r="E148" s="2"/>
      <c r="F148" s="2"/>
    </row>
    <row r="149" spans="1:6" x14ac:dyDescent="0.35">
      <c r="A149" s="3">
        <v>11</v>
      </c>
      <c r="B149" s="2">
        <v>11</v>
      </c>
      <c r="C149" s="2">
        <v>11</v>
      </c>
      <c r="D149" s="2"/>
      <c r="E149" s="2"/>
      <c r="F149" s="2"/>
    </row>
    <row r="150" spans="1:6" x14ac:dyDescent="0.35">
      <c r="A150" s="3">
        <v>12</v>
      </c>
      <c r="B150" s="2">
        <v>12</v>
      </c>
      <c r="C150" s="2">
        <v>12</v>
      </c>
      <c r="D150" s="2"/>
      <c r="E150" s="2"/>
      <c r="F150" s="2"/>
    </row>
    <row r="151" spans="1:6" x14ac:dyDescent="0.35">
      <c r="A151" s="3">
        <v>14</v>
      </c>
      <c r="B151" s="2">
        <v>14</v>
      </c>
      <c r="C151" s="2">
        <v>14</v>
      </c>
      <c r="D151" s="2"/>
      <c r="E151" s="2"/>
      <c r="F151" s="2"/>
    </row>
    <row r="152" spans="1:6" x14ac:dyDescent="0.35">
      <c r="A152" s="3">
        <v>15</v>
      </c>
      <c r="B152" s="2">
        <v>15</v>
      </c>
      <c r="C152" s="2">
        <v>15</v>
      </c>
      <c r="D152" s="2"/>
      <c r="E152" s="2"/>
      <c r="F152" s="2"/>
    </row>
    <row r="153" spans="1:6" x14ac:dyDescent="0.35">
      <c r="A153" s="3">
        <v>16</v>
      </c>
      <c r="B153" s="2">
        <v>16</v>
      </c>
      <c r="C153" s="2">
        <v>16</v>
      </c>
      <c r="D153" s="2"/>
      <c r="E153" s="2"/>
      <c r="F153" s="2"/>
    </row>
    <row r="154" spans="1:6" x14ac:dyDescent="0.35">
      <c r="A154" s="3">
        <v>17</v>
      </c>
      <c r="B154" s="2">
        <v>17</v>
      </c>
      <c r="C154" s="2">
        <v>17</v>
      </c>
      <c r="D154" s="2"/>
      <c r="E154" s="2"/>
      <c r="F154" s="2"/>
    </row>
    <row r="155" spans="1:6" x14ac:dyDescent="0.35">
      <c r="A155" s="3">
        <v>18</v>
      </c>
      <c r="B155" s="2">
        <v>18</v>
      </c>
      <c r="C155" s="2">
        <v>18</v>
      </c>
      <c r="D155" s="2"/>
      <c r="E155" s="2"/>
      <c r="F155" s="2"/>
    </row>
    <row r="156" spans="1:6" x14ac:dyDescent="0.35">
      <c r="A156" s="3">
        <v>20</v>
      </c>
      <c r="B156" s="2">
        <v>20</v>
      </c>
      <c r="C156" s="2">
        <v>20</v>
      </c>
      <c r="D156" s="2"/>
      <c r="E156" s="2"/>
      <c r="F156" s="2"/>
    </row>
    <row r="157" spans="1:6" x14ac:dyDescent="0.35">
      <c r="A157" s="3">
        <v>24</v>
      </c>
      <c r="B157" s="2">
        <v>24</v>
      </c>
      <c r="C157" s="2">
        <v>24</v>
      </c>
      <c r="D157" s="2"/>
      <c r="E157" s="2"/>
      <c r="F157" s="2"/>
    </row>
    <row r="158" spans="1:6" x14ac:dyDescent="0.35">
      <c r="A158" s="3">
        <v>25</v>
      </c>
      <c r="B158" s="2">
        <v>25</v>
      </c>
      <c r="C158" s="2">
        <v>25</v>
      </c>
      <c r="D158" s="2"/>
      <c r="E158" s="2"/>
      <c r="F158" s="2"/>
    </row>
    <row r="159" spans="1:6" x14ac:dyDescent="0.35">
      <c r="A159" s="3">
        <v>27</v>
      </c>
      <c r="B159" s="2">
        <v>27</v>
      </c>
      <c r="C159" s="2">
        <v>27</v>
      </c>
      <c r="D159" s="2"/>
      <c r="E159" s="2"/>
      <c r="F159" s="2"/>
    </row>
    <row r="160" spans="1:6" x14ac:dyDescent="0.35">
      <c r="A160" s="3">
        <v>28</v>
      </c>
      <c r="B160" s="2">
        <v>28</v>
      </c>
      <c r="C160" s="2">
        <v>28</v>
      </c>
      <c r="D160" s="2"/>
      <c r="E160" s="2"/>
      <c r="F160" s="2"/>
    </row>
    <row r="161" spans="1:6" x14ac:dyDescent="0.35">
      <c r="A161" s="3">
        <v>30</v>
      </c>
      <c r="B161" s="2">
        <v>30</v>
      </c>
      <c r="C161" s="2">
        <v>30</v>
      </c>
      <c r="D161" s="2"/>
      <c r="E161" s="2"/>
      <c r="F161" s="2"/>
    </row>
    <row r="162" spans="1:6" x14ac:dyDescent="0.35">
      <c r="A162" s="3">
        <v>33</v>
      </c>
      <c r="B162" s="2">
        <v>33</v>
      </c>
      <c r="C162" s="2">
        <v>33</v>
      </c>
      <c r="D162" s="2"/>
      <c r="E162" s="2"/>
      <c r="F162" s="2"/>
    </row>
    <row r="163" spans="1:6" x14ac:dyDescent="0.35">
      <c r="A163" s="3">
        <v>34</v>
      </c>
      <c r="B163" s="2">
        <v>34</v>
      </c>
      <c r="C163" s="2">
        <v>34</v>
      </c>
      <c r="D163" s="2"/>
      <c r="E163" s="2"/>
      <c r="F163" s="2"/>
    </row>
    <row r="164" spans="1:6" x14ac:dyDescent="0.35">
      <c r="A164" s="3">
        <v>37</v>
      </c>
      <c r="B164" s="2">
        <v>37</v>
      </c>
      <c r="C164" s="2">
        <v>37</v>
      </c>
      <c r="D164" s="2"/>
      <c r="E164" s="2"/>
      <c r="F164" s="2"/>
    </row>
    <row r="165" spans="1:6" x14ac:dyDescent="0.35">
      <c r="A165" s="3">
        <v>39</v>
      </c>
      <c r="B165" s="2">
        <v>39</v>
      </c>
      <c r="C165" s="2">
        <v>39</v>
      </c>
      <c r="D165" s="2"/>
      <c r="E165" s="2"/>
      <c r="F165" s="2"/>
    </row>
    <row r="166" spans="1:6" x14ac:dyDescent="0.35">
      <c r="A166" s="3">
        <v>40</v>
      </c>
      <c r="B166" s="2">
        <v>40</v>
      </c>
      <c r="C166" s="2">
        <v>40</v>
      </c>
      <c r="D166" s="2"/>
      <c r="E166" s="2"/>
      <c r="F166" s="2"/>
    </row>
    <row r="167" spans="1:6" x14ac:dyDescent="0.35">
      <c r="A167" s="3">
        <v>46</v>
      </c>
      <c r="B167" s="2">
        <v>46</v>
      </c>
      <c r="C167" s="2">
        <v>46</v>
      </c>
      <c r="D167" s="2"/>
      <c r="E167" s="2"/>
      <c r="F167" s="2"/>
    </row>
    <row r="168" spans="1:6" x14ac:dyDescent="0.35">
      <c r="A168" s="3">
        <v>48</v>
      </c>
      <c r="B168" s="2">
        <v>48</v>
      </c>
      <c r="C168" s="2">
        <v>48</v>
      </c>
      <c r="D168" s="2"/>
      <c r="E168" s="2"/>
      <c r="F168" s="2"/>
    </row>
    <row r="169" spans="1:6" x14ac:dyDescent="0.35">
      <c r="A169" s="3">
        <v>49</v>
      </c>
      <c r="B169" s="2">
        <v>49</v>
      </c>
      <c r="C169" s="2">
        <v>49</v>
      </c>
      <c r="D169" s="2"/>
      <c r="E169" s="2"/>
      <c r="F169" s="2"/>
    </row>
    <row r="170" spans="1:6" x14ac:dyDescent="0.35">
      <c r="A170" s="3">
        <v>50</v>
      </c>
      <c r="B170" s="2">
        <v>50</v>
      </c>
      <c r="C170" s="2">
        <v>50</v>
      </c>
      <c r="D170" s="2"/>
      <c r="E170" s="2"/>
      <c r="F170" s="2"/>
    </row>
    <row r="171" spans="1:6" x14ac:dyDescent="0.35">
      <c r="A171" s="3">
        <v>51</v>
      </c>
      <c r="B171" s="2">
        <v>51</v>
      </c>
      <c r="C171" s="2">
        <v>51</v>
      </c>
      <c r="D171" s="2"/>
      <c r="E171" s="2"/>
      <c r="F171" s="2"/>
    </row>
    <row r="172" spans="1:6" x14ac:dyDescent="0.35">
      <c r="A172" s="3">
        <v>57</v>
      </c>
      <c r="B172" s="2">
        <v>57</v>
      </c>
      <c r="C172" s="2">
        <v>57</v>
      </c>
      <c r="D172" s="2"/>
      <c r="E172" s="2"/>
      <c r="F172" s="2"/>
    </row>
    <row r="173" spans="1:6" x14ac:dyDescent="0.35">
      <c r="A173" s="3">
        <v>58</v>
      </c>
      <c r="B173" s="2">
        <v>58</v>
      </c>
      <c r="C173" s="2">
        <v>58</v>
      </c>
      <c r="D173" s="2"/>
      <c r="E173" s="2"/>
      <c r="F173" s="2"/>
    </row>
    <row r="174" spans="1:6" x14ac:dyDescent="0.35">
      <c r="A174" s="3">
        <v>60</v>
      </c>
      <c r="B174" s="2">
        <v>60</v>
      </c>
      <c r="C174" s="2">
        <v>60</v>
      </c>
      <c r="D174" s="2"/>
      <c r="E174" s="2"/>
      <c r="F174" s="2"/>
    </row>
    <row r="175" spans="1:6" x14ac:dyDescent="0.35">
      <c r="A175" s="3">
        <v>65</v>
      </c>
      <c r="B175" s="2">
        <v>65</v>
      </c>
      <c r="C175" s="2">
        <v>65</v>
      </c>
      <c r="D175" s="2"/>
      <c r="E175" s="2"/>
      <c r="F175" s="2"/>
    </row>
    <row r="176" spans="1:6" x14ac:dyDescent="0.35">
      <c r="A176" s="3">
        <v>66</v>
      </c>
      <c r="B176" s="2">
        <v>66</v>
      </c>
      <c r="C176" s="2">
        <v>66</v>
      </c>
      <c r="D176" s="2"/>
      <c r="E176" s="2"/>
      <c r="F176" s="2"/>
    </row>
    <row r="177" spans="1:6" x14ac:dyDescent="0.35">
      <c r="A177" s="3">
        <v>67</v>
      </c>
      <c r="B177" s="2">
        <v>67</v>
      </c>
      <c r="C177" s="2">
        <v>67</v>
      </c>
      <c r="D177" s="2"/>
      <c r="E177" s="2"/>
      <c r="F177" s="2"/>
    </row>
    <row r="178" spans="1:6" x14ac:dyDescent="0.35">
      <c r="A178" s="3">
        <v>68</v>
      </c>
      <c r="B178" s="2">
        <v>68</v>
      </c>
      <c r="C178" s="2">
        <v>68</v>
      </c>
      <c r="D178" s="2"/>
      <c r="E178" s="2"/>
      <c r="F178" s="2"/>
    </row>
    <row r="179" spans="1:6" x14ac:dyDescent="0.35">
      <c r="A179" s="3">
        <v>70</v>
      </c>
      <c r="B179" s="2">
        <v>70</v>
      </c>
      <c r="C179" s="2">
        <v>70</v>
      </c>
      <c r="D179" s="2"/>
      <c r="E179" s="2"/>
      <c r="F179" s="2"/>
    </row>
    <row r="180" spans="1:6" x14ac:dyDescent="0.35">
      <c r="A180" s="3">
        <v>71</v>
      </c>
      <c r="B180" s="2">
        <v>71</v>
      </c>
      <c r="C180" s="2">
        <v>71</v>
      </c>
      <c r="D180" s="2"/>
      <c r="E180" s="2"/>
      <c r="F180" s="2"/>
    </row>
    <row r="181" spans="1:6" x14ac:dyDescent="0.35">
      <c r="A181" s="3">
        <v>73</v>
      </c>
      <c r="B181" s="2">
        <v>73</v>
      </c>
      <c r="C181" s="2">
        <v>73</v>
      </c>
      <c r="D181" s="2"/>
      <c r="E181" s="2"/>
      <c r="F181" s="2"/>
    </row>
    <row r="182" spans="1:6" x14ac:dyDescent="0.35">
      <c r="A182" s="3">
        <v>75</v>
      </c>
      <c r="B182" s="2">
        <v>75</v>
      </c>
      <c r="C182" s="2">
        <v>75</v>
      </c>
      <c r="D182" s="2"/>
      <c r="E182" s="2"/>
      <c r="F182" s="2"/>
    </row>
    <row r="183" spans="1:6" x14ac:dyDescent="0.35">
      <c r="A183" s="3">
        <v>80</v>
      </c>
      <c r="B183" s="2">
        <v>80</v>
      </c>
      <c r="C183" s="2">
        <v>80</v>
      </c>
      <c r="D183" s="2"/>
      <c r="E183" s="2"/>
      <c r="F183" s="2"/>
    </row>
    <row r="184" spans="1:6" x14ac:dyDescent="0.35">
      <c r="A184" s="3">
        <v>82</v>
      </c>
      <c r="B184" s="2">
        <v>82</v>
      </c>
      <c r="C184" s="2">
        <v>82</v>
      </c>
      <c r="D184" s="2"/>
      <c r="E184" s="2"/>
      <c r="F184" s="2"/>
    </row>
    <row r="185" spans="1:6" x14ac:dyDescent="0.35">
      <c r="A185" s="3">
        <v>85</v>
      </c>
      <c r="B185" s="2">
        <v>85</v>
      </c>
      <c r="C185" s="2">
        <v>85</v>
      </c>
      <c r="D185" s="2"/>
      <c r="E185" s="2"/>
      <c r="F185" s="2"/>
    </row>
    <row r="186" spans="1:6" x14ac:dyDescent="0.35">
      <c r="A186" s="3">
        <v>90</v>
      </c>
      <c r="B186" s="2">
        <v>90</v>
      </c>
      <c r="C186" s="2">
        <v>90</v>
      </c>
      <c r="D186" s="2"/>
      <c r="E186" s="2"/>
      <c r="F186" s="2"/>
    </row>
    <row r="187" spans="1:6" x14ac:dyDescent="0.35">
      <c r="A187" s="3">
        <v>94</v>
      </c>
      <c r="B187" s="2">
        <v>94</v>
      </c>
      <c r="C187" s="2">
        <v>94</v>
      </c>
      <c r="D187" s="2"/>
      <c r="E187" s="2"/>
      <c r="F187" s="2"/>
    </row>
    <row r="188" spans="1:6" x14ac:dyDescent="0.35">
      <c r="A188" s="3">
        <v>95</v>
      </c>
      <c r="B188" s="2">
        <v>95</v>
      </c>
      <c r="C188" s="2">
        <v>95</v>
      </c>
      <c r="D188" s="2"/>
      <c r="E188" s="2"/>
      <c r="F188" s="2"/>
    </row>
    <row r="189" spans="1:6" x14ac:dyDescent="0.35">
      <c r="A189" s="3">
        <v>97</v>
      </c>
      <c r="B189" s="2">
        <v>97</v>
      </c>
      <c r="C189" s="2">
        <v>97</v>
      </c>
      <c r="D189" s="2"/>
      <c r="E189" s="2"/>
      <c r="F189" s="2"/>
    </row>
    <row r="190" spans="1:6" x14ac:dyDescent="0.35">
      <c r="A190" s="3">
        <v>98</v>
      </c>
      <c r="B190" s="2">
        <v>98</v>
      </c>
      <c r="C190" s="2">
        <v>98</v>
      </c>
      <c r="D190" s="2"/>
      <c r="E190" s="2"/>
      <c r="F190" s="2"/>
    </row>
    <row r="191" spans="1:6" x14ac:dyDescent="0.35">
      <c r="A191" s="3">
        <v>99</v>
      </c>
      <c r="B191" s="2">
        <v>99</v>
      </c>
      <c r="C191" s="2">
        <v>99</v>
      </c>
      <c r="D191" s="2"/>
      <c r="E191" s="2"/>
      <c r="F191" s="2"/>
    </row>
    <row r="192" spans="1:6" x14ac:dyDescent="0.35">
      <c r="A192" s="3">
        <v>100</v>
      </c>
      <c r="B192" s="2">
        <v>100</v>
      </c>
      <c r="C192" s="2">
        <v>100</v>
      </c>
      <c r="D192" s="2"/>
      <c r="E192" s="2"/>
      <c r="F192" s="2"/>
    </row>
    <row r="194" spans="1:16" ht="17.5" x14ac:dyDescent="0.35">
      <c r="A194" s="1" t="s">
        <v>102</v>
      </c>
    </row>
    <row r="196" spans="1:16" x14ac:dyDescent="0.35">
      <c r="A196" s="3" t="s">
        <v>103</v>
      </c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ht="28" x14ac:dyDescent="0.35">
      <c r="A197" s="3" t="s">
        <v>104</v>
      </c>
      <c r="B197" s="3" t="s">
        <v>42</v>
      </c>
      <c r="C197" s="3" t="s">
        <v>105</v>
      </c>
      <c r="D197" s="3" t="s">
        <v>123</v>
      </c>
      <c r="E197" s="3" t="s">
        <v>43</v>
      </c>
      <c r="F197" s="3" t="s">
        <v>105</v>
      </c>
      <c r="G197" s="3" t="s">
        <v>123</v>
      </c>
      <c r="H197" s="3" t="s">
        <v>44</v>
      </c>
      <c r="I197" s="3" t="s">
        <v>105</v>
      </c>
      <c r="J197" s="3" t="s">
        <v>123</v>
      </c>
      <c r="K197" s="3" t="s">
        <v>45</v>
      </c>
      <c r="L197" s="3" t="s">
        <v>105</v>
      </c>
      <c r="M197" s="3" t="s">
        <v>123</v>
      </c>
      <c r="N197" s="3" t="s">
        <v>106</v>
      </c>
      <c r="O197" s="3" t="s">
        <v>9</v>
      </c>
      <c r="P197" s="2"/>
    </row>
    <row r="198" spans="1:16" x14ac:dyDescent="0.35">
      <c r="A198" s="3"/>
      <c r="B198" s="2">
        <v>0.84340000000000004</v>
      </c>
      <c r="C198" s="2">
        <v>0.27389999999999998</v>
      </c>
      <c r="D198" s="2">
        <v>3.0790999999999999</v>
      </c>
      <c r="E198" s="2">
        <v>-8.2500000000000004E-2</v>
      </c>
      <c r="F198" s="2">
        <v>0.38400000000000001</v>
      </c>
      <c r="G198" s="2">
        <v>-0.2147</v>
      </c>
      <c r="H198" s="2">
        <v>0.40849999999999997</v>
      </c>
      <c r="I198" s="2">
        <v>0.3024</v>
      </c>
      <c r="J198" s="2">
        <v>1.3508</v>
      </c>
      <c r="K198" s="2">
        <v>-1.1694</v>
      </c>
      <c r="L198" s="2">
        <v>0.54359999999999997</v>
      </c>
      <c r="M198" s="2">
        <v>-2.1511999999999998</v>
      </c>
      <c r="N198" s="2">
        <v>9.8160000000000007</v>
      </c>
      <c r="O198" s="2">
        <v>0.02</v>
      </c>
      <c r="P198" s="2"/>
    </row>
    <row r="199" spans="1:16" x14ac:dyDescent="0.3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ht="28" x14ac:dyDescent="0.35">
      <c r="A200" s="3" t="s">
        <v>107</v>
      </c>
      <c r="B200" s="3" t="s">
        <v>42</v>
      </c>
      <c r="C200" s="3" t="s">
        <v>105</v>
      </c>
      <c r="D200" s="3" t="s">
        <v>123</v>
      </c>
      <c r="E200" s="3" t="s">
        <v>43</v>
      </c>
      <c r="F200" s="3" t="s">
        <v>105</v>
      </c>
      <c r="G200" s="3" t="s">
        <v>123</v>
      </c>
      <c r="H200" s="3" t="s">
        <v>44</v>
      </c>
      <c r="I200" s="3" t="s">
        <v>105</v>
      </c>
      <c r="J200" s="3" t="s">
        <v>123</v>
      </c>
      <c r="K200" s="3" t="s">
        <v>45</v>
      </c>
      <c r="L200" s="3" t="s">
        <v>105</v>
      </c>
      <c r="M200" s="3" t="s">
        <v>123</v>
      </c>
      <c r="N200" s="3" t="s">
        <v>106</v>
      </c>
      <c r="O200" s="3" t="s">
        <v>9</v>
      </c>
      <c r="P200" s="2"/>
    </row>
    <row r="201" spans="1:16" x14ac:dyDescent="0.35">
      <c r="A201" s="3" t="s">
        <v>148</v>
      </c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35">
      <c r="A202" s="2"/>
      <c r="B202" s="2">
        <v>8.5000000000000006E-3</v>
      </c>
      <c r="C202" s="2">
        <v>2.8999999999999998E-3</v>
      </c>
      <c r="D202" s="2">
        <v>2.9156</v>
      </c>
      <c r="E202" s="2">
        <v>3.7000000000000002E-3</v>
      </c>
      <c r="F202" s="2">
        <v>4.0000000000000001E-3</v>
      </c>
      <c r="G202" s="2">
        <v>0.92830000000000001</v>
      </c>
      <c r="H202" s="2">
        <v>-2E-3</v>
      </c>
      <c r="I202" s="2">
        <v>3.3E-3</v>
      </c>
      <c r="J202" s="2">
        <v>-0.61309999999999998</v>
      </c>
      <c r="K202" s="2">
        <v>-1.0200000000000001E-2</v>
      </c>
      <c r="L202" s="2">
        <v>6.0000000000000001E-3</v>
      </c>
      <c r="M202" s="2">
        <v>-1.6987000000000001</v>
      </c>
      <c r="N202" s="2">
        <v>11.9086</v>
      </c>
      <c r="O202" s="2">
        <v>7.7000000000000002E-3</v>
      </c>
      <c r="P202" s="2"/>
    </row>
    <row r="203" spans="1:16" x14ac:dyDescent="0.3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5" spans="1:16" ht="17.5" x14ac:dyDescent="0.35">
      <c r="A205" s="1" t="s">
        <v>108</v>
      </c>
    </row>
    <row r="207" spans="1:16" x14ac:dyDescent="0.35">
      <c r="A207" s="3" t="s">
        <v>103</v>
      </c>
      <c r="B207" s="3"/>
      <c r="C207" s="3"/>
      <c r="D207" s="3" t="s">
        <v>106</v>
      </c>
      <c r="E207" s="3" t="s">
        <v>109</v>
      </c>
      <c r="F207" s="3" t="s">
        <v>9</v>
      </c>
    </row>
    <row r="208" spans="1:16" x14ac:dyDescent="0.35">
      <c r="A208" s="3" t="s">
        <v>104</v>
      </c>
      <c r="B208" s="2"/>
      <c r="C208" s="2"/>
      <c r="D208" s="2"/>
      <c r="E208" s="2"/>
      <c r="F208" s="2"/>
    </row>
    <row r="209" spans="1:6" x14ac:dyDescent="0.35">
      <c r="A209" s="3" t="s">
        <v>110</v>
      </c>
      <c r="B209" s="3">
        <v>1</v>
      </c>
      <c r="C209" s="3">
        <v>2</v>
      </c>
      <c r="D209" s="2">
        <v>3.4134000000000002</v>
      </c>
      <c r="E209" s="2">
        <v>1</v>
      </c>
      <c r="F209" s="2">
        <v>6.5000000000000002E-2</v>
      </c>
    </row>
    <row r="210" spans="1:6" x14ac:dyDescent="0.35">
      <c r="A210" s="3" t="s">
        <v>110</v>
      </c>
      <c r="B210" s="3">
        <v>1</v>
      </c>
      <c r="C210" s="3">
        <v>3</v>
      </c>
      <c r="D210" s="2">
        <v>1.573</v>
      </c>
      <c r="E210" s="2">
        <v>1</v>
      </c>
      <c r="F210" s="2">
        <v>0.21</v>
      </c>
    </row>
    <row r="211" spans="1:6" x14ac:dyDescent="0.35">
      <c r="A211" s="3" t="s">
        <v>110</v>
      </c>
      <c r="B211" s="3">
        <v>1</v>
      </c>
      <c r="C211" s="3">
        <v>4</v>
      </c>
      <c r="D211" s="2">
        <v>7.5270000000000001</v>
      </c>
      <c r="E211" s="2">
        <v>1</v>
      </c>
      <c r="F211" s="2">
        <v>6.1000000000000004E-3</v>
      </c>
    </row>
    <row r="212" spans="1:6" x14ac:dyDescent="0.35">
      <c r="A212" s="3" t="s">
        <v>110</v>
      </c>
      <c r="B212" s="3">
        <v>2</v>
      </c>
      <c r="C212" s="3">
        <v>3</v>
      </c>
      <c r="D212" s="2">
        <v>0.87639999999999996</v>
      </c>
      <c r="E212" s="2">
        <v>1</v>
      </c>
      <c r="F212" s="2">
        <v>0.35</v>
      </c>
    </row>
    <row r="213" spans="1:6" x14ac:dyDescent="0.35">
      <c r="A213" s="3" t="s">
        <v>110</v>
      </c>
      <c r="B213" s="3">
        <v>2</v>
      </c>
      <c r="C213" s="3">
        <v>4</v>
      </c>
      <c r="D213" s="2">
        <v>1.7545999999999999</v>
      </c>
      <c r="E213" s="2">
        <v>1</v>
      </c>
      <c r="F213" s="2">
        <v>0.19</v>
      </c>
    </row>
    <row r="214" spans="1:6" x14ac:dyDescent="0.35">
      <c r="A214" s="3" t="s">
        <v>110</v>
      </c>
      <c r="B214" s="3">
        <v>3</v>
      </c>
      <c r="C214" s="3">
        <v>4</v>
      </c>
      <c r="D214" s="2">
        <v>4.2926000000000002</v>
      </c>
      <c r="E214" s="2">
        <v>1</v>
      </c>
      <c r="F214" s="2">
        <v>3.7999999999999999E-2</v>
      </c>
    </row>
    <row r="215" spans="1:6" x14ac:dyDescent="0.35">
      <c r="A215" s="3" t="s">
        <v>148</v>
      </c>
      <c r="B215" s="2"/>
      <c r="C215" s="2"/>
      <c r="D215" s="2"/>
      <c r="E215" s="2"/>
      <c r="F215" s="2"/>
    </row>
    <row r="216" spans="1:6" x14ac:dyDescent="0.35">
      <c r="A216" s="3" t="s">
        <v>110</v>
      </c>
      <c r="B216" s="3">
        <v>1</v>
      </c>
      <c r="C216" s="3">
        <v>2</v>
      </c>
      <c r="D216" s="2">
        <v>0.85309999999999997</v>
      </c>
      <c r="E216" s="2">
        <v>1</v>
      </c>
      <c r="F216" s="2">
        <v>0.36</v>
      </c>
    </row>
    <row r="217" spans="1:6" x14ac:dyDescent="0.35">
      <c r="A217" s="3" t="s">
        <v>110</v>
      </c>
      <c r="B217" s="3">
        <v>1</v>
      </c>
      <c r="C217" s="3">
        <v>3</v>
      </c>
      <c r="D217" s="2">
        <v>8.1344999999999992</v>
      </c>
      <c r="E217" s="2">
        <v>1</v>
      </c>
      <c r="F217" s="2">
        <v>4.4000000000000003E-3</v>
      </c>
    </row>
    <row r="218" spans="1:6" x14ac:dyDescent="0.35">
      <c r="A218" s="3" t="s">
        <v>110</v>
      </c>
      <c r="B218" s="3">
        <v>1</v>
      </c>
      <c r="C218" s="3">
        <v>4</v>
      </c>
      <c r="D218" s="2">
        <v>5.3414000000000001</v>
      </c>
      <c r="E218" s="2">
        <v>1</v>
      </c>
      <c r="F218" s="2">
        <v>2.1000000000000001E-2</v>
      </c>
    </row>
    <row r="219" spans="1:6" x14ac:dyDescent="0.35">
      <c r="A219" s="3" t="s">
        <v>110</v>
      </c>
      <c r="B219" s="3">
        <v>2</v>
      </c>
      <c r="C219" s="3">
        <v>3</v>
      </c>
      <c r="D219" s="2">
        <v>1.0945</v>
      </c>
      <c r="E219" s="2">
        <v>1</v>
      </c>
      <c r="F219" s="2">
        <v>0.3</v>
      </c>
    </row>
    <row r="220" spans="1:6" x14ac:dyDescent="0.35">
      <c r="A220" s="3" t="s">
        <v>110</v>
      </c>
      <c r="B220" s="3">
        <v>2</v>
      </c>
      <c r="C220" s="3">
        <v>4</v>
      </c>
      <c r="D220" s="2">
        <v>2.4403000000000001</v>
      </c>
      <c r="E220" s="2">
        <v>1</v>
      </c>
      <c r="F220" s="2">
        <v>0.12</v>
      </c>
    </row>
    <row r="221" spans="1:6" x14ac:dyDescent="0.35">
      <c r="A221" s="3" t="s">
        <v>110</v>
      </c>
      <c r="B221" s="3">
        <v>3</v>
      </c>
      <c r="C221" s="3">
        <v>4</v>
      </c>
      <c r="D221" s="2">
        <v>0.9476</v>
      </c>
      <c r="E221" s="2">
        <v>1</v>
      </c>
      <c r="F221" s="2">
        <v>0.33</v>
      </c>
    </row>
    <row r="223" spans="1:6" ht="17.5" x14ac:dyDescent="0.35">
      <c r="A223" s="1" t="s">
        <v>111</v>
      </c>
    </row>
    <row r="225" spans="1:9" x14ac:dyDescent="0.35">
      <c r="A225" s="2"/>
      <c r="B225" s="3" t="s">
        <v>42</v>
      </c>
      <c r="C225" s="3" t="s">
        <v>105</v>
      </c>
      <c r="D225" s="3" t="s">
        <v>43</v>
      </c>
      <c r="E225" s="3" t="s">
        <v>105</v>
      </c>
      <c r="F225" s="3" t="s">
        <v>44</v>
      </c>
      <c r="G225" s="3" t="s">
        <v>105</v>
      </c>
      <c r="H225" s="3" t="s">
        <v>45</v>
      </c>
      <c r="I225" s="3" t="s">
        <v>105</v>
      </c>
    </row>
    <row r="226" spans="1:9" x14ac:dyDescent="0.35">
      <c r="A226" s="3" t="s">
        <v>112</v>
      </c>
      <c r="B226" s="2">
        <v>0.65720000000000001</v>
      </c>
      <c r="C226" s="2">
        <v>1.8800000000000001E-2</v>
      </c>
      <c r="D226" s="2">
        <v>0.1661</v>
      </c>
      <c r="E226" s="2">
        <v>1.61E-2</v>
      </c>
      <c r="F226" s="2">
        <v>0.1603</v>
      </c>
      <c r="G226" s="2">
        <v>1.4E-2</v>
      </c>
      <c r="H226" s="2">
        <v>1.6500000000000001E-2</v>
      </c>
      <c r="I226" s="2">
        <v>4.4000000000000003E-3</v>
      </c>
    </row>
    <row r="227" spans="1:9" x14ac:dyDescent="0.35">
      <c r="A227" s="3" t="s">
        <v>107</v>
      </c>
      <c r="B227" s="2"/>
      <c r="C227" s="2"/>
      <c r="D227" s="2"/>
      <c r="E227" s="2"/>
      <c r="F227" s="2"/>
      <c r="G227" s="2"/>
      <c r="H227" s="2"/>
      <c r="I227" s="2"/>
    </row>
    <row r="228" spans="1:9" x14ac:dyDescent="0.35">
      <c r="A228" s="3" t="s">
        <v>148</v>
      </c>
      <c r="B228" s="2"/>
      <c r="C228" s="2"/>
      <c r="D228" s="2"/>
      <c r="E228" s="2"/>
      <c r="F228" s="2"/>
      <c r="G228" s="2"/>
      <c r="H228" s="2"/>
      <c r="I228" s="2"/>
    </row>
    <row r="229" spans="1:9" x14ac:dyDescent="0.35">
      <c r="A229" s="10">
        <v>18629</v>
      </c>
      <c r="B229" s="2">
        <v>6.1100000000000002E-2</v>
      </c>
      <c r="C229" s="2" t="s">
        <v>11</v>
      </c>
      <c r="D229" s="2">
        <v>8.4599999999999995E-2</v>
      </c>
      <c r="E229" s="2" t="s">
        <v>11</v>
      </c>
      <c r="F229" s="2">
        <v>0.12740000000000001</v>
      </c>
      <c r="G229" s="2" t="s">
        <v>11</v>
      </c>
      <c r="H229" s="2">
        <v>0.2271</v>
      </c>
      <c r="I229" s="2" t="s">
        <v>11</v>
      </c>
    </row>
    <row r="230" spans="1:9" x14ac:dyDescent="0.35">
      <c r="A230" s="3" t="s">
        <v>149</v>
      </c>
      <c r="B230" s="2">
        <v>0.93889999999999996</v>
      </c>
      <c r="C230" s="2" t="s">
        <v>11</v>
      </c>
      <c r="D230" s="2">
        <v>0.91539999999999999</v>
      </c>
      <c r="E230" s="2" t="s">
        <v>11</v>
      </c>
      <c r="F230" s="2">
        <v>0.87260000000000004</v>
      </c>
      <c r="G230" s="2" t="s">
        <v>11</v>
      </c>
      <c r="H230" s="2">
        <v>0.77290000000000003</v>
      </c>
      <c r="I230" s="2" t="s">
        <v>11</v>
      </c>
    </row>
    <row r="231" spans="1:9" x14ac:dyDescent="0.35">
      <c r="A231" s="3" t="s">
        <v>126</v>
      </c>
      <c r="B231" s="2">
        <v>95.6511</v>
      </c>
      <c r="C231" s="2" t="s">
        <v>11</v>
      </c>
      <c r="D231" s="2">
        <v>93.509799999999998</v>
      </c>
      <c r="E231" s="2" t="s">
        <v>11</v>
      </c>
      <c r="F231" s="2">
        <v>89.524000000000001</v>
      </c>
      <c r="G231" s="2" t="s">
        <v>11</v>
      </c>
      <c r="H231" s="2">
        <v>79.997500000000002</v>
      </c>
      <c r="I231" s="2" t="s">
        <v>11</v>
      </c>
    </row>
    <row r="233" spans="1:9" ht="17.5" x14ac:dyDescent="0.35">
      <c r="A233" s="1" t="s">
        <v>113</v>
      </c>
    </row>
    <row r="235" spans="1:9" x14ac:dyDescent="0.35">
      <c r="A235" s="2"/>
      <c r="B235" s="3" t="s">
        <v>42</v>
      </c>
      <c r="C235" s="3" t="s">
        <v>43</v>
      </c>
      <c r="D235" s="3" t="s">
        <v>44</v>
      </c>
      <c r="E235" s="3" t="s">
        <v>45</v>
      </c>
    </row>
    <row r="236" spans="1:9" x14ac:dyDescent="0.35">
      <c r="A236" s="3" t="s">
        <v>114</v>
      </c>
      <c r="B236" s="2">
        <v>0.65720000000000001</v>
      </c>
      <c r="C236" s="2">
        <v>0.1661</v>
      </c>
      <c r="D236" s="2">
        <v>0.1603</v>
      </c>
      <c r="E236" s="2">
        <v>1.6500000000000001E-2</v>
      </c>
    </row>
    <row r="237" spans="1:9" x14ac:dyDescent="0.35">
      <c r="A237" s="3" t="s">
        <v>107</v>
      </c>
      <c r="B237" s="2"/>
      <c r="C237" s="2"/>
      <c r="D237" s="2"/>
      <c r="E237" s="2"/>
    </row>
    <row r="238" spans="1:9" x14ac:dyDescent="0.35">
      <c r="A238" s="3" t="s">
        <v>148</v>
      </c>
      <c r="B238" s="2"/>
      <c r="C238" s="2"/>
      <c r="D238" s="2"/>
      <c r="E238" s="2"/>
    </row>
    <row r="239" spans="1:9" x14ac:dyDescent="0.35">
      <c r="A239" s="10">
        <v>18629</v>
      </c>
      <c r="B239" s="2">
        <v>0.51149999999999995</v>
      </c>
      <c r="C239" s="2">
        <v>0.17949999999999999</v>
      </c>
      <c r="D239" s="2">
        <v>0.26119999999999999</v>
      </c>
      <c r="E239" s="2">
        <v>4.7899999999999998E-2</v>
      </c>
    </row>
    <row r="240" spans="1:9" x14ac:dyDescent="0.35">
      <c r="A240" s="3" t="s">
        <v>149</v>
      </c>
      <c r="B240" s="2">
        <v>0.66949999999999998</v>
      </c>
      <c r="C240" s="2">
        <v>0.16500000000000001</v>
      </c>
      <c r="D240" s="2">
        <v>0.1517</v>
      </c>
      <c r="E240" s="2">
        <v>1.38E-2</v>
      </c>
    </row>
    <row r="242" spans="1:9" ht="17.5" x14ac:dyDescent="0.35">
      <c r="A242" s="1" t="s">
        <v>115</v>
      </c>
    </row>
    <row r="244" spans="1:9" x14ac:dyDescent="0.35">
      <c r="A244" s="2"/>
      <c r="B244" s="20" t="s">
        <v>110</v>
      </c>
      <c r="C244" s="21"/>
      <c r="D244" s="21"/>
      <c r="E244" s="21"/>
      <c r="F244" s="21"/>
      <c r="G244" s="21"/>
      <c r="H244" s="21"/>
      <c r="I244" s="22"/>
    </row>
    <row r="245" spans="1:9" x14ac:dyDescent="0.35">
      <c r="A245" s="3" t="s">
        <v>148</v>
      </c>
      <c r="B245" s="3">
        <v>1</v>
      </c>
      <c r="C245" s="3" t="s">
        <v>105</v>
      </c>
      <c r="D245" s="3">
        <v>2</v>
      </c>
      <c r="E245" s="3" t="s">
        <v>105</v>
      </c>
      <c r="F245" s="3">
        <v>3</v>
      </c>
      <c r="G245" s="3" t="s">
        <v>105</v>
      </c>
      <c r="H245" s="3">
        <v>4</v>
      </c>
      <c r="I245" s="3" t="s">
        <v>105</v>
      </c>
    </row>
    <row r="246" spans="1:9" x14ac:dyDescent="0.35">
      <c r="A246" s="3">
        <v>0</v>
      </c>
      <c r="B246" s="2">
        <v>0.45929999999999999</v>
      </c>
      <c r="C246" s="2">
        <v>7.8100000000000003E-2</v>
      </c>
      <c r="D246" s="2">
        <v>0.182</v>
      </c>
      <c r="E246" s="2">
        <v>7.1199999999999999E-2</v>
      </c>
      <c r="F246" s="2">
        <v>0.29730000000000001</v>
      </c>
      <c r="G246" s="2">
        <v>6.9900000000000004E-2</v>
      </c>
      <c r="H246" s="2">
        <v>6.1400000000000003E-2</v>
      </c>
      <c r="I246" s="2">
        <v>4.1500000000000002E-2</v>
      </c>
    </row>
    <row r="247" spans="1:9" x14ac:dyDescent="0.35">
      <c r="A247" s="3">
        <v>1</v>
      </c>
      <c r="B247" s="2">
        <v>0.4617</v>
      </c>
      <c r="C247" s="2">
        <v>7.7399999999999997E-2</v>
      </c>
      <c r="D247" s="2">
        <v>0.182</v>
      </c>
      <c r="E247" s="2">
        <v>7.0499999999999993E-2</v>
      </c>
      <c r="F247" s="2">
        <v>0.29570000000000002</v>
      </c>
      <c r="G247" s="2">
        <v>6.9000000000000006E-2</v>
      </c>
      <c r="H247" s="2">
        <v>6.0499999999999998E-2</v>
      </c>
      <c r="I247" s="2">
        <v>4.0500000000000001E-2</v>
      </c>
    </row>
    <row r="248" spans="1:9" x14ac:dyDescent="0.35">
      <c r="A248" s="3">
        <v>2</v>
      </c>
      <c r="B248" s="2">
        <v>0.46400000000000002</v>
      </c>
      <c r="C248" s="2">
        <v>7.6700000000000004E-2</v>
      </c>
      <c r="D248" s="2">
        <v>0.18210000000000001</v>
      </c>
      <c r="E248" s="2">
        <v>6.9800000000000001E-2</v>
      </c>
      <c r="F248" s="2">
        <v>0.29409999999999997</v>
      </c>
      <c r="G248" s="2">
        <v>6.8000000000000005E-2</v>
      </c>
      <c r="H248" s="2">
        <v>5.9700000000000003E-2</v>
      </c>
      <c r="I248" s="2">
        <v>3.9600000000000003E-2</v>
      </c>
    </row>
    <row r="249" spans="1:9" x14ac:dyDescent="0.35">
      <c r="A249" s="3">
        <v>4</v>
      </c>
      <c r="B249" s="2">
        <v>0.46870000000000001</v>
      </c>
      <c r="C249" s="2">
        <v>7.5300000000000006E-2</v>
      </c>
      <c r="D249" s="2">
        <v>0.1822</v>
      </c>
      <c r="E249" s="2">
        <v>6.8400000000000002E-2</v>
      </c>
      <c r="F249" s="2">
        <v>0.29099999999999998</v>
      </c>
      <c r="G249" s="2">
        <v>6.6199999999999995E-2</v>
      </c>
      <c r="H249" s="2">
        <v>5.8099999999999999E-2</v>
      </c>
      <c r="I249" s="2">
        <v>3.78E-2</v>
      </c>
    </row>
    <row r="250" spans="1:9" x14ac:dyDescent="0.35">
      <c r="A250" s="3">
        <v>5</v>
      </c>
      <c r="B250" s="2">
        <v>0.47110000000000002</v>
      </c>
      <c r="C250" s="2">
        <v>7.46E-2</v>
      </c>
      <c r="D250" s="2">
        <v>0.18229999999999999</v>
      </c>
      <c r="E250" s="2">
        <v>6.7699999999999996E-2</v>
      </c>
      <c r="F250" s="2">
        <v>0.28939999999999999</v>
      </c>
      <c r="G250" s="2">
        <v>6.5199999999999994E-2</v>
      </c>
      <c r="H250" s="2">
        <v>5.7299999999999997E-2</v>
      </c>
      <c r="I250" s="2">
        <v>3.6900000000000002E-2</v>
      </c>
    </row>
    <row r="251" spans="1:9" x14ac:dyDescent="0.35">
      <c r="A251" s="3">
        <v>7</v>
      </c>
      <c r="B251" s="2">
        <v>0.47570000000000001</v>
      </c>
      <c r="C251" s="2">
        <v>7.3099999999999998E-2</v>
      </c>
      <c r="D251" s="2">
        <v>0.18229999999999999</v>
      </c>
      <c r="E251" s="2">
        <v>6.6299999999999998E-2</v>
      </c>
      <c r="F251" s="2">
        <v>0.28620000000000001</v>
      </c>
      <c r="G251" s="2">
        <v>6.3399999999999998E-2</v>
      </c>
      <c r="H251" s="2">
        <v>5.5800000000000002E-2</v>
      </c>
      <c r="I251" s="2">
        <v>3.5200000000000002E-2</v>
      </c>
    </row>
    <row r="252" spans="1:9" x14ac:dyDescent="0.35">
      <c r="A252" s="3">
        <v>8</v>
      </c>
      <c r="B252" s="2">
        <v>0.47810000000000002</v>
      </c>
      <c r="C252" s="2">
        <v>7.2400000000000006E-2</v>
      </c>
      <c r="D252" s="2">
        <v>0.18240000000000001</v>
      </c>
      <c r="E252" s="2">
        <v>6.5600000000000006E-2</v>
      </c>
      <c r="F252" s="2">
        <v>0.28460000000000002</v>
      </c>
      <c r="G252" s="2">
        <v>6.25E-2</v>
      </c>
      <c r="H252" s="2">
        <v>5.5E-2</v>
      </c>
      <c r="I252" s="2">
        <v>3.44E-2</v>
      </c>
    </row>
    <row r="253" spans="1:9" x14ac:dyDescent="0.35">
      <c r="A253" s="3">
        <v>10</v>
      </c>
      <c r="B253" s="2">
        <v>0.48270000000000002</v>
      </c>
      <c r="C253" s="2">
        <v>7.0999999999999994E-2</v>
      </c>
      <c r="D253" s="2">
        <v>0.18240000000000001</v>
      </c>
      <c r="E253" s="2">
        <v>6.4199999999999993E-2</v>
      </c>
      <c r="F253" s="2">
        <v>0.28139999999999998</v>
      </c>
      <c r="G253" s="2">
        <v>6.0699999999999997E-2</v>
      </c>
      <c r="H253" s="2">
        <v>5.3499999999999999E-2</v>
      </c>
      <c r="I253" s="2">
        <v>3.2800000000000003E-2</v>
      </c>
    </row>
    <row r="254" spans="1:9" x14ac:dyDescent="0.35">
      <c r="A254" s="3">
        <v>11</v>
      </c>
      <c r="B254" s="2">
        <v>0.48509999999999998</v>
      </c>
      <c r="C254" s="2">
        <v>7.0199999999999999E-2</v>
      </c>
      <c r="D254" s="2">
        <v>0.18240000000000001</v>
      </c>
      <c r="E254" s="2">
        <v>6.3500000000000001E-2</v>
      </c>
      <c r="F254" s="2">
        <v>0.27979999999999999</v>
      </c>
      <c r="G254" s="2">
        <v>5.9799999999999999E-2</v>
      </c>
      <c r="H254" s="2">
        <v>5.28E-2</v>
      </c>
      <c r="I254" s="2">
        <v>3.2000000000000001E-2</v>
      </c>
    </row>
    <row r="255" spans="1:9" x14ac:dyDescent="0.35">
      <c r="A255" s="3">
        <v>12</v>
      </c>
      <c r="B255" s="2">
        <v>0.4874</v>
      </c>
      <c r="C255" s="2">
        <v>6.9500000000000006E-2</v>
      </c>
      <c r="D255" s="2">
        <v>0.18240000000000001</v>
      </c>
      <c r="E255" s="2">
        <v>6.2799999999999995E-2</v>
      </c>
      <c r="F255" s="2">
        <v>0.2782</v>
      </c>
      <c r="G255" s="2">
        <v>5.8900000000000001E-2</v>
      </c>
      <c r="H255" s="2">
        <v>5.1999999999999998E-2</v>
      </c>
      <c r="I255" s="2">
        <v>3.1199999999999999E-2</v>
      </c>
    </row>
    <row r="256" spans="1:9" x14ac:dyDescent="0.35">
      <c r="A256" s="3">
        <v>14</v>
      </c>
      <c r="B256" s="2">
        <v>0.49199999999999999</v>
      </c>
      <c r="C256" s="2">
        <v>6.8000000000000005E-2</v>
      </c>
      <c r="D256" s="2">
        <v>0.18240000000000001</v>
      </c>
      <c r="E256" s="2">
        <v>6.1400000000000003E-2</v>
      </c>
      <c r="F256" s="2">
        <v>0.27500000000000002</v>
      </c>
      <c r="G256" s="2">
        <v>5.7099999999999998E-2</v>
      </c>
      <c r="H256" s="2">
        <v>5.0599999999999999E-2</v>
      </c>
      <c r="I256" s="2">
        <v>2.9700000000000001E-2</v>
      </c>
    </row>
    <row r="257" spans="1:9" x14ac:dyDescent="0.35">
      <c r="A257" s="3">
        <v>15</v>
      </c>
      <c r="B257" s="2">
        <v>0.49430000000000002</v>
      </c>
      <c r="C257" s="2">
        <v>6.7299999999999999E-2</v>
      </c>
      <c r="D257" s="2">
        <v>0.18240000000000001</v>
      </c>
      <c r="E257" s="2">
        <v>6.0699999999999997E-2</v>
      </c>
      <c r="F257" s="2">
        <v>0.27339999999999998</v>
      </c>
      <c r="G257" s="2">
        <v>5.62E-2</v>
      </c>
      <c r="H257" s="2">
        <v>4.99E-2</v>
      </c>
      <c r="I257" s="2">
        <v>2.9000000000000001E-2</v>
      </c>
    </row>
    <row r="258" spans="1:9" x14ac:dyDescent="0.35">
      <c r="A258" s="3">
        <v>16</v>
      </c>
      <c r="B258" s="2">
        <v>0.49659999999999999</v>
      </c>
      <c r="C258" s="2">
        <v>6.6600000000000006E-2</v>
      </c>
      <c r="D258" s="2">
        <v>0.18240000000000001</v>
      </c>
      <c r="E258" s="2">
        <v>0.06</v>
      </c>
      <c r="F258" s="2">
        <v>0.27179999999999999</v>
      </c>
      <c r="G258" s="2">
        <v>5.5300000000000002E-2</v>
      </c>
      <c r="H258" s="2">
        <v>4.9200000000000001E-2</v>
      </c>
      <c r="I258" s="2">
        <v>2.8299999999999999E-2</v>
      </c>
    </row>
    <row r="259" spans="1:9" x14ac:dyDescent="0.35">
      <c r="A259" s="3">
        <v>17</v>
      </c>
      <c r="B259" s="2">
        <v>0.49890000000000001</v>
      </c>
      <c r="C259" s="2">
        <v>6.5799999999999997E-2</v>
      </c>
      <c r="D259" s="2">
        <v>0.18229999999999999</v>
      </c>
      <c r="E259" s="2">
        <v>5.9299999999999999E-2</v>
      </c>
      <c r="F259" s="2">
        <v>0.2702</v>
      </c>
      <c r="G259" s="2">
        <v>5.45E-2</v>
      </c>
      <c r="H259" s="2">
        <v>4.8500000000000001E-2</v>
      </c>
      <c r="I259" s="2">
        <v>2.76E-2</v>
      </c>
    </row>
    <row r="260" spans="1:9" x14ac:dyDescent="0.35">
      <c r="A260" s="3">
        <v>18</v>
      </c>
      <c r="B260" s="2">
        <v>0.50119999999999998</v>
      </c>
      <c r="C260" s="2">
        <v>6.5100000000000005E-2</v>
      </c>
      <c r="D260" s="2">
        <v>0.18229999999999999</v>
      </c>
      <c r="E260" s="2">
        <v>5.8599999999999999E-2</v>
      </c>
      <c r="F260" s="2">
        <v>0.26860000000000001</v>
      </c>
      <c r="G260" s="2">
        <v>5.3600000000000002E-2</v>
      </c>
      <c r="H260" s="2">
        <v>4.7800000000000002E-2</v>
      </c>
      <c r="I260" s="2">
        <v>2.69E-2</v>
      </c>
    </row>
    <row r="261" spans="1:9" x14ac:dyDescent="0.35">
      <c r="A261" s="3">
        <v>20</v>
      </c>
      <c r="B261" s="2">
        <v>0.50580000000000003</v>
      </c>
      <c r="C261" s="2">
        <v>6.3600000000000004E-2</v>
      </c>
      <c r="D261" s="2">
        <v>0.1822</v>
      </c>
      <c r="E261" s="2">
        <v>5.7200000000000001E-2</v>
      </c>
      <c r="F261" s="2">
        <v>0.26540000000000002</v>
      </c>
      <c r="G261" s="2">
        <v>5.1900000000000002E-2</v>
      </c>
      <c r="H261" s="2">
        <v>4.65E-2</v>
      </c>
      <c r="I261" s="2">
        <v>2.5499999999999998E-2</v>
      </c>
    </row>
    <row r="262" spans="1:9" x14ac:dyDescent="0.35">
      <c r="A262" s="3">
        <v>24</v>
      </c>
      <c r="B262" s="2">
        <v>0.51490000000000002</v>
      </c>
      <c r="C262" s="2">
        <v>6.0600000000000001E-2</v>
      </c>
      <c r="D262" s="2">
        <v>0.182</v>
      </c>
      <c r="E262" s="2">
        <v>5.4399999999999997E-2</v>
      </c>
      <c r="F262" s="2">
        <v>0.2591</v>
      </c>
      <c r="G262" s="2">
        <v>4.8599999999999997E-2</v>
      </c>
      <c r="H262" s="2">
        <v>4.3900000000000002E-2</v>
      </c>
      <c r="I262" s="2">
        <v>2.3E-2</v>
      </c>
    </row>
    <row r="263" spans="1:9" x14ac:dyDescent="0.35">
      <c r="A263" s="3">
        <v>25</v>
      </c>
      <c r="B263" s="2">
        <v>0.51719999999999999</v>
      </c>
      <c r="C263" s="2">
        <v>5.9799999999999999E-2</v>
      </c>
      <c r="D263" s="2">
        <v>0.182</v>
      </c>
      <c r="E263" s="2">
        <v>5.3699999999999998E-2</v>
      </c>
      <c r="F263" s="2">
        <v>0.25750000000000001</v>
      </c>
      <c r="G263" s="2">
        <v>4.7800000000000002E-2</v>
      </c>
      <c r="H263" s="2">
        <v>4.3299999999999998E-2</v>
      </c>
      <c r="I263" s="2">
        <v>2.24E-2</v>
      </c>
    </row>
    <row r="264" spans="1:9" x14ac:dyDescent="0.35">
      <c r="A264" s="3">
        <v>27</v>
      </c>
      <c r="B264" s="2">
        <v>0.52170000000000005</v>
      </c>
      <c r="C264" s="2">
        <v>5.8299999999999998E-2</v>
      </c>
      <c r="D264" s="2">
        <v>0.18179999999999999</v>
      </c>
      <c r="E264" s="2">
        <v>5.2299999999999999E-2</v>
      </c>
      <c r="F264" s="2">
        <v>0.25440000000000002</v>
      </c>
      <c r="G264" s="2">
        <v>4.6199999999999998E-2</v>
      </c>
      <c r="H264" s="2">
        <v>4.2099999999999999E-2</v>
      </c>
      <c r="I264" s="2">
        <v>2.1299999999999999E-2</v>
      </c>
    </row>
    <row r="265" spans="1:9" x14ac:dyDescent="0.35">
      <c r="A265" s="3">
        <v>28</v>
      </c>
      <c r="B265" s="2">
        <v>0.52400000000000002</v>
      </c>
      <c r="C265" s="2">
        <v>5.7500000000000002E-2</v>
      </c>
      <c r="D265" s="2">
        <v>0.1817</v>
      </c>
      <c r="E265" s="2">
        <v>5.16E-2</v>
      </c>
      <c r="F265" s="2">
        <v>0.25280000000000002</v>
      </c>
      <c r="G265" s="2">
        <v>4.5400000000000003E-2</v>
      </c>
      <c r="H265" s="2">
        <v>4.1500000000000002E-2</v>
      </c>
      <c r="I265" s="2">
        <v>2.07E-2</v>
      </c>
    </row>
    <row r="266" spans="1:9" x14ac:dyDescent="0.35">
      <c r="A266" s="3">
        <v>30</v>
      </c>
      <c r="B266" s="2">
        <v>0.52839999999999998</v>
      </c>
      <c r="C266" s="2">
        <v>5.6000000000000001E-2</v>
      </c>
      <c r="D266" s="2">
        <v>0.18160000000000001</v>
      </c>
      <c r="E266" s="2">
        <v>5.0200000000000002E-2</v>
      </c>
      <c r="F266" s="2">
        <v>0.24970000000000001</v>
      </c>
      <c r="G266" s="2">
        <v>4.3799999999999999E-2</v>
      </c>
      <c r="H266" s="2">
        <v>4.0300000000000002E-2</v>
      </c>
      <c r="I266" s="2">
        <v>1.9599999999999999E-2</v>
      </c>
    </row>
    <row r="267" spans="1:9" x14ac:dyDescent="0.35">
      <c r="A267" s="3">
        <v>33</v>
      </c>
      <c r="B267" s="2">
        <v>0.53510000000000002</v>
      </c>
      <c r="C267" s="2">
        <v>5.3800000000000001E-2</v>
      </c>
      <c r="D267" s="2">
        <v>0.18129999999999999</v>
      </c>
      <c r="E267" s="2">
        <v>4.8099999999999997E-2</v>
      </c>
      <c r="F267" s="2">
        <v>0.245</v>
      </c>
      <c r="G267" s="2">
        <v>4.1500000000000002E-2</v>
      </c>
      <c r="H267" s="2">
        <v>3.8600000000000002E-2</v>
      </c>
      <c r="I267" s="2">
        <v>1.8100000000000002E-2</v>
      </c>
    </row>
    <row r="268" spans="1:9" x14ac:dyDescent="0.35">
      <c r="A268" s="3">
        <v>34</v>
      </c>
      <c r="B268" s="2">
        <v>0.53739999999999999</v>
      </c>
      <c r="C268" s="2">
        <v>5.2999999999999999E-2</v>
      </c>
      <c r="D268" s="2">
        <v>0.1812</v>
      </c>
      <c r="E268" s="2">
        <v>4.7399999999999998E-2</v>
      </c>
      <c r="F268" s="2">
        <v>0.24349999999999999</v>
      </c>
      <c r="G268" s="2">
        <v>4.07E-2</v>
      </c>
      <c r="H268" s="2">
        <v>3.7999999999999999E-2</v>
      </c>
      <c r="I268" s="2">
        <v>1.7600000000000001E-2</v>
      </c>
    </row>
    <row r="269" spans="1:9" x14ac:dyDescent="0.35">
      <c r="A269" s="3">
        <v>37</v>
      </c>
      <c r="B269" s="2">
        <v>0.54400000000000004</v>
      </c>
      <c r="C269" s="2">
        <v>5.0700000000000002E-2</v>
      </c>
      <c r="D269" s="2">
        <v>0.18079999999999999</v>
      </c>
      <c r="E269" s="2">
        <v>4.53E-2</v>
      </c>
      <c r="F269" s="2">
        <v>0.23880000000000001</v>
      </c>
      <c r="G269" s="2">
        <v>3.85E-2</v>
      </c>
      <c r="H269" s="2">
        <v>3.6400000000000002E-2</v>
      </c>
      <c r="I269" s="2">
        <v>1.6199999999999999E-2</v>
      </c>
    </row>
    <row r="270" spans="1:9" x14ac:dyDescent="0.35">
      <c r="A270" s="3">
        <v>39</v>
      </c>
      <c r="B270" s="2">
        <v>0.5484</v>
      </c>
      <c r="C270" s="2">
        <v>4.9200000000000001E-2</v>
      </c>
      <c r="D270" s="2">
        <v>0.18049999999999999</v>
      </c>
      <c r="E270" s="2">
        <v>4.3900000000000002E-2</v>
      </c>
      <c r="F270" s="2">
        <v>0.23569999999999999</v>
      </c>
      <c r="G270" s="2">
        <v>3.6999999999999998E-2</v>
      </c>
      <c r="H270" s="2">
        <v>3.5299999999999998E-2</v>
      </c>
      <c r="I270" s="2">
        <v>1.5299999999999999E-2</v>
      </c>
    </row>
    <row r="271" spans="1:9" x14ac:dyDescent="0.35">
      <c r="A271" s="3">
        <v>40</v>
      </c>
      <c r="B271" s="2">
        <v>0.55059999999999998</v>
      </c>
      <c r="C271" s="2">
        <v>4.8500000000000001E-2</v>
      </c>
      <c r="D271" s="2">
        <v>0.1804</v>
      </c>
      <c r="E271" s="2">
        <v>4.3200000000000002E-2</v>
      </c>
      <c r="F271" s="2">
        <v>0.23419999999999999</v>
      </c>
      <c r="G271" s="2">
        <v>3.6299999999999999E-2</v>
      </c>
      <c r="H271" s="2">
        <v>3.4799999999999998E-2</v>
      </c>
      <c r="I271" s="2">
        <v>1.49E-2</v>
      </c>
    </row>
    <row r="272" spans="1:9" x14ac:dyDescent="0.35">
      <c r="A272" s="3">
        <v>46</v>
      </c>
      <c r="B272" s="2">
        <v>0.56359999999999999</v>
      </c>
      <c r="C272" s="2">
        <v>4.3999999999999997E-2</v>
      </c>
      <c r="D272" s="2">
        <v>0.17949999999999999</v>
      </c>
      <c r="E272" s="2">
        <v>3.9100000000000003E-2</v>
      </c>
      <c r="F272" s="2">
        <v>0.22509999999999999</v>
      </c>
      <c r="G272" s="2">
        <v>3.2199999999999999E-2</v>
      </c>
      <c r="H272" s="2">
        <v>3.1899999999999998E-2</v>
      </c>
      <c r="I272" s="2">
        <v>1.2500000000000001E-2</v>
      </c>
    </row>
    <row r="273" spans="1:9" x14ac:dyDescent="0.35">
      <c r="A273" s="3">
        <v>48</v>
      </c>
      <c r="B273" s="2">
        <v>0.56779999999999997</v>
      </c>
      <c r="C273" s="2">
        <v>4.2500000000000003E-2</v>
      </c>
      <c r="D273" s="2">
        <v>0.17910000000000001</v>
      </c>
      <c r="E273" s="2">
        <v>3.78E-2</v>
      </c>
      <c r="F273" s="2">
        <v>0.22209999999999999</v>
      </c>
      <c r="G273" s="2">
        <v>3.09E-2</v>
      </c>
      <c r="H273" s="2">
        <v>3.09E-2</v>
      </c>
      <c r="I273" s="2">
        <v>1.18E-2</v>
      </c>
    </row>
    <row r="274" spans="1:9" x14ac:dyDescent="0.35">
      <c r="A274" s="3">
        <v>49</v>
      </c>
      <c r="B274" s="2">
        <v>0.56999999999999995</v>
      </c>
      <c r="C274" s="2">
        <v>4.1799999999999997E-2</v>
      </c>
      <c r="D274" s="2">
        <v>0.1789</v>
      </c>
      <c r="E274" s="2">
        <v>3.7100000000000001E-2</v>
      </c>
      <c r="F274" s="2">
        <v>0.22059999999999999</v>
      </c>
      <c r="G274" s="2">
        <v>3.0200000000000001E-2</v>
      </c>
      <c r="H274" s="2">
        <v>3.0499999999999999E-2</v>
      </c>
      <c r="I274" s="2">
        <v>1.15E-2</v>
      </c>
    </row>
    <row r="275" spans="1:9" x14ac:dyDescent="0.35">
      <c r="A275" s="3">
        <v>50</v>
      </c>
      <c r="B275" s="2">
        <v>0.57210000000000005</v>
      </c>
      <c r="C275" s="2">
        <v>4.1000000000000002E-2</v>
      </c>
      <c r="D275" s="2">
        <v>0.17879999999999999</v>
      </c>
      <c r="E275" s="2">
        <v>3.6400000000000002E-2</v>
      </c>
      <c r="F275" s="2">
        <v>0.21909999999999999</v>
      </c>
      <c r="G275" s="2">
        <v>2.9600000000000001E-2</v>
      </c>
      <c r="H275" s="2">
        <v>0.03</v>
      </c>
      <c r="I275" s="2">
        <v>1.12E-2</v>
      </c>
    </row>
    <row r="276" spans="1:9" x14ac:dyDescent="0.35">
      <c r="A276" s="3">
        <v>51</v>
      </c>
      <c r="B276" s="2">
        <v>0.57420000000000004</v>
      </c>
      <c r="C276" s="2">
        <v>4.0300000000000002E-2</v>
      </c>
      <c r="D276" s="2">
        <v>0.17860000000000001</v>
      </c>
      <c r="E276" s="2">
        <v>3.5799999999999998E-2</v>
      </c>
      <c r="F276" s="2">
        <v>0.21759999999999999</v>
      </c>
      <c r="G276" s="2">
        <v>2.9000000000000001E-2</v>
      </c>
      <c r="H276" s="2">
        <v>2.9600000000000001E-2</v>
      </c>
      <c r="I276" s="2">
        <v>1.0800000000000001E-2</v>
      </c>
    </row>
    <row r="277" spans="1:9" x14ac:dyDescent="0.35">
      <c r="A277" s="3">
        <v>57</v>
      </c>
      <c r="B277" s="2">
        <v>0.58679999999999999</v>
      </c>
      <c r="C277" s="2">
        <v>3.5999999999999997E-2</v>
      </c>
      <c r="D277" s="2">
        <v>0.17730000000000001</v>
      </c>
      <c r="E277" s="2">
        <v>3.1899999999999998E-2</v>
      </c>
      <c r="F277" s="2">
        <v>0.20880000000000001</v>
      </c>
      <c r="G277" s="2">
        <v>2.5399999999999999E-2</v>
      </c>
      <c r="H277" s="2">
        <v>2.7E-2</v>
      </c>
      <c r="I277" s="2">
        <v>9.1000000000000004E-3</v>
      </c>
    </row>
    <row r="278" spans="1:9" x14ac:dyDescent="0.35">
      <c r="A278" s="3">
        <v>58</v>
      </c>
      <c r="B278" s="2">
        <v>0.58889999999999998</v>
      </c>
      <c r="C278" s="2">
        <v>3.5299999999999998E-2</v>
      </c>
      <c r="D278" s="2">
        <v>0.17710000000000001</v>
      </c>
      <c r="E278" s="2">
        <v>3.1199999999999999E-2</v>
      </c>
      <c r="F278" s="2">
        <v>0.2074</v>
      </c>
      <c r="G278" s="2">
        <v>2.4899999999999999E-2</v>
      </c>
      <c r="H278" s="2">
        <v>2.6599999999999999E-2</v>
      </c>
      <c r="I278" s="2">
        <v>8.8999999999999999E-3</v>
      </c>
    </row>
    <row r="279" spans="1:9" x14ac:dyDescent="0.35">
      <c r="A279" s="3">
        <v>60</v>
      </c>
      <c r="B279" s="2">
        <v>0.59299999999999997</v>
      </c>
      <c r="C279" s="2">
        <v>3.39E-2</v>
      </c>
      <c r="D279" s="2">
        <v>0.1767</v>
      </c>
      <c r="E279" s="2">
        <v>0.03</v>
      </c>
      <c r="F279" s="2">
        <v>0.20449999999999999</v>
      </c>
      <c r="G279" s="2">
        <v>2.3800000000000002E-2</v>
      </c>
      <c r="H279" s="2">
        <v>2.58E-2</v>
      </c>
      <c r="I279" s="2">
        <v>8.3999999999999995E-3</v>
      </c>
    </row>
    <row r="280" spans="1:9" x14ac:dyDescent="0.35">
      <c r="A280" s="3">
        <v>65</v>
      </c>
      <c r="B280" s="2">
        <v>0.60319999999999996</v>
      </c>
      <c r="C280" s="2">
        <v>3.0599999999999999E-2</v>
      </c>
      <c r="D280" s="2">
        <v>0.17549999999999999</v>
      </c>
      <c r="E280" s="2">
        <v>2.7E-2</v>
      </c>
      <c r="F280" s="2">
        <v>0.19739999999999999</v>
      </c>
      <c r="G280" s="2">
        <v>2.1299999999999999E-2</v>
      </c>
      <c r="H280" s="2">
        <v>2.3900000000000001E-2</v>
      </c>
      <c r="I280" s="2">
        <v>7.3000000000000001E-3</v>
      </c>
    </row>
    <row r="281" spans="1:9" x14ac:dyDescent="0.35">
      <c r="A281" s="3">
        <v>66</v>
      </c>
      <c r="B281" s="2">
        <v>0.60519999999999996</v>
      </c>
      <c r="C281" s="2">
        <v>0.03</v>
      </c>
      <c r="D281" s="2">
        <v>0.17530000000000001</v>
      </c>
      <c r="E281" s="2">
        <v>2.64E-2</v>
      </c>
      <c r="F281" s="2">
        <v>0.19600000000000001</v>
      </c>
      <c r="G281" s="2">
        <v>2.0799999999999999E-2</v>
      </c>
      <c r="H281" s="2">
        <v>2.3599999999999999E-2</v>
      </c>
      <c r="I281" s="2">
        <v>7.1000000000000004E-3</v>
      </c>
    </row>
    <row r="282" spans="1:9" x14ac:dyDescent="0.35">
      <c r="A282" s="3">
        <v>67</v>
      </c>
      <c r="B282" s="2">
        <v>0.60719999999999996</v>
      </c>
      <c r="C282" s="2">
        <v>2.93E-2</v>
      </c>
      <c r="D282" s="2">
        <v>0.17499999999999999</v>
      </c>
      <c r="E282" s="2">
        <v>2.58E-2</v>
      </c>
      <c r="F282" s="2">
        <v>0.1946</v>
      </c>
      <c r="G282" s="2">
        <v>2.0400000000000001E-2</v>
      </c>
      <c r="H282" s="2">
        <v>2.3199999999999998E-2</v>
      </c>
      <c r="I282" s="2">
        <v>6.8999999999999999E-3</v>
      </c>
    </row>
    <row r="283" spans="1:9" x14ac:dyDescent="0.35">
      <c r="A283" s="3">
        <v>68</v>
      </c>
      <c r="B283" s="2">
        <v>0.60919999999999996</v>
      </c>
      <c r="C283" s="2">
        <v>2.87E-2</v>
      </c>
      <c r="D283" s="2">
        <v>0.17480000000000001</v>
      </c>
      <c r="E283" s="2">
        <v>2.53E-2</v>
      </c>
      <c r="F283" s="2">
        <v>0.19320000000000001</v>
      </c>
      <c r="G283" s="2">
        <v>1.9900000000000001E-2</v>
      </c>
      <c r="H283" s="2">
        <v>2.2800000000000001E-2</v>
      </c>
      <c r="I283" s="2">
        <v>6.7000000000000002E-3</v>
      </c>
    </row>
    <row r="284" spans="1:9" x14ac:dyDescent="0.35">
      <c r="A284" s="3">
        <v>70</v>
      </c>
      <c r="B284" s="2">
        <v>0.61319999999999997</v>
      </c>
      <c r="C284" s="2">
        <v>2.75E-2</v>
      </c>
      <c r="D284" s="2">
        <v>0.17419999999999999</v>
      </c>
      <c r="E284" s="2">
        <v>2.4199999999999999E-2</v>
      </c>
      <c r="F284" s="2">
        <v>0.19040000000000001</v>
      </c>
      <c r="G284" s="2">
        <v>1.9099999999999999E-2</v>
      </c>
      <c r="H284" s="2">
        <v>2.2100000000000002E-2</v>
      </c>
      <c r="I284" s="2">
        <v>6.4000000000000003E-3</v>
      </c>
    </row>
    <row r="285" spans="1:9" x14ac:dyDescent="0.35">
      <c r="A285" s="3">
        <v>71</v>
      </c>
      <c r="B285" s="2">
        <v>0.61519999999999997</v>
      </c>
      <c r="C285" s="2">
        <v>2.69E-2</v>
      </c>
      <c r="D285" s="2">
        <v>0.17399999999999999</v>
      </c>
      <c r="E285" s="2">
        <v>2.3599999999999999E-2</v>
      </c>
      <c r="F285" s="2">
        <v>0.189</v>
      </c>
      <c r="G285" s="2">
        <v>1.8700000000000001E-2</v>
      </c>
      <c r="H285" s="2">
        <v>2.18E-2</v>
      </c>
      <c r="I285" s="2">
        <v>6.1999999999999998E-3</v>
      </c>
    </row>
    <row r="286" spans="1:9" x14ac:dyDescent="0.35">
      <c r="A286" s="3">
        <v>73</v>
      </c>
      <c r="B286" s="2">
        <v>0.61909999999999998</v>
      </c>
      <c r="C286" s="2">
        <v>2.58E-2</v>
      </c>
      <c r="D286" s="2">
        <v>0.1734</v>
      </c>
      <c r="E286" s="2">
        <v>2.2599999999999999E-2</v>
      </c>
      <c r="F286" s="2">
        <v>0.18629999999999999</v>
      </c>
      <c r="G286" s="2">
        <v>1.7999999999999999E-2</v>
      </c>
      <c r="H286" s="2">
        <v>2.1100000000000001E-2</v>
      </c>
      <c r="I286" s="2">
        <v>6.0000000000000001E-3</v>
      </c>
    </row>
    <row r="287" spans="1:9" x14ac:dyDescent="0.35">
      <c r="A287" s="3">
        <v>75</v>
      </c>
      <c r="B287" s="2">
        <v>0.62309999999999999</v>
      </c>
      <c r="C287" s="2">
        <v>2.4799999999999999E-2</v>
      </c>
      <c r="D287" s="2">
        <v>0.1729</v>
      </c>
      <c r="E287" s="2">
        <v>2.1600000000000001E-2</v>
      </c>
      <c r="F287" s="2">
        <v>0.18360000000000001</v>
      </c>
      <c r="G287" s="2">
        <v>1.7299999999999999E-2</v>
      </c>
      <c r="H287" s="2">
        <v>2.0500000000000001E-2</v>
      </c>
      <c r="I287" s="2">
        <v>5.7000000000000002E-3</v>
      </c>
    </row>
    <row r="288" spans="1:9" x14ac:dyDescent="0.35">
      <c r="A288" s="3">
        <v>80</v>
      </c>
      <c r="B288" s="2">
        <v>0.63270000000000004</v>
      </c>
      <c r="C288" s="2">
        <v>2.24E-2</v>
      </c>
      <c r="D288" s="2">
        <v>0.1714</v>
      </c>
      <c r="E288" s="2">
        <v>1.9400000000000001E-2</v>
      </c>
      <c r="F288" s="2">
        <v>0.1769</v>
      </c>
      <c r="G288" s="2">
        <v>1.5900000000000001E-2</v>
      </c>
      <c r="H288" s="2">
        <v>1.9E-2</v>
      </c>
      <c r="I288" s="2">
        <v>5.1000000000000004E-3</v>
      </c>
    </row>
    <row r="289" spans="1:9" x14ac:dyDescent="0.35">
      <c r="A289" s="3">
        <v>82</v>
      </c>
      <c r="B289" s="2">
        <v>0.63649999999999995</v>
      </c>
      <c r="C289" s="2">
        <v>2.1600000000000001E-2</v>
      </c>
      <c r="D289" s="2">
        <v>0.17080000000000001</v>
      </c>
      <c r="E289" s="2">
        <v>1.8700000000000001E-2</v>
      </c>
      <c r="F289" s="2">
        <v>0.17430000000000001</v>
      </c>
      <c r="G289" s="2">
        <v>1.54E-2</v>
      </c>
      <c r="H289" s="2">
        <v>1.84E-2</v>
      </c>
      <c r="I289" s="2">
        <v>5.0000000000000001E-3</v>
      </c>
    </row>
    <row r="290" spans="1:9" x14ac:dyDescent="0.35">
      <c r="A290" s="3">
        <v>85</v>
      </c>
      <c r="B290" s="2">
        <v>0.64219999999999999</v>
      </c>
      <c r="C290" s="2">
        <v>2.06E-2</v>
      </c>
      <c r="D290" s="2">
        <v>0.1699</v>
      </c>
      <c r="E290" s="2">
        <v>1.77E-2</v>
      </c>
      <c r="F290" s="2">
        <v>0.1704</v>
      </c>
      <c r="G290" s="2">
        <v>1.49E-2</v>
      </c>
      <c r="H290" s="2">
        <v>1.7500000000000002E-2</v>
      </c>
      <c r="I290" s="2">
        <v>4.7000000000000002E-3</v>
      </c>
    </row>
    <row r="291" spans="1:9" x14ac:dyDescent="0.35">
      <c r="A291" s="3">
        <v>90</v>
      </c>
      <c r="B291" s="2">
        <v>0.65149999999999997</v>
      </c>
      <c r="C291" s="2">
        <v>1.9400000000000001E-2</v>
      </c>
      <c r="D291" s="2">
        <v>0.16830000000000001</v>
      </c>
      <c r="E291" s="2">
        <v>1.66E-2</v>
      </c>
      <c r="F291" s="2">
        <v>0.16400000000000001</v>
      </c>
      <c r="G291" s="2">
        <v>1.43E-2</v>
      </c>
      <c r="H291" s="2">
        <v>1.6199999999999999E-2</v>
      </c>
      <c r="I291" s="2">
        <v>4.4999999999999997E-3</v>
      </c>
    </row>
    <row r="292" spans="1:9" x14ac:dyDescent="0.35">
      <c r="A292" s="3">
        <v>94</v>
      </c>
      <c r="B292" s="2">
        <v>0.65880000000000005</v>
      </c>
      <c r="C292" s="2">
        <v>1.9E-2</v>
      </c>
      <c r="D292" s="2">
        <v>0.16700000000000001</v>
      </c>
      <c r="E292" s="2">
        <v>1.6199999999999999E-2</v>
      </c>
      <c r="F292" s="2">
        <v>0.159</v>
      </c>
      <c r="G292" s="2">
        <v>1.41E-2</v>
      </c>
      <c r="H292" s="2">
        <v>1.52E-2</v>
      </c>
      <c r="I292" s="2">
        <v>4.3E-3</v>
      </c>
    </row>
    <row r="293" spans="1:9" x14ac:dyDescent="0.35">
      <c r="A293" s="3">
        <v>95</v>
      </c>
      <c r="B293" s="2">
        <v>0.66059999999999997</v>
      </c>
      <c r="C293" s="2">
        <v>1.9E-2</v>
      </c>
      <c r="D293" s="2">
        <v>0.16669999999999999</v>
      </c>
      <c r="E293" s="2">
        <v>1.6199999999999999E-2</v>
      </c>
      <c r="F293" s="2">
        <v>0.1578</v>
      </c>
      <c r="G293" s="2">
        <v>1.41E-2</v>
      </c>
      <c r="H293" s="2">
        <v>1.49E-2</v>
      </c>
      <c r="I293" s="2">
        <v>4.3E-3</v>
      </c>
    </row>
    <row r="294" spans="1:9" x14ac:dyDescent="0.35">
      <c r="A294" s="3">
        <v>97</v>
      </c>
      <c r="B294" s="2">
        <v>0.66420000000000001</v>
      </c>
      <c r="C294" s="2">
        <v>1.9E-2</v>
      </c>
      <c r="D294" s="2">
        <v>0.16600000000000001</v>
      </c>
      <c r="E294" s="2">
        <v>1.6199999999999999E-2</v>
      </c>
      <c r="F294" s="2">
        <v>0.15529999999999999</v>
      </c>
      <c r="G294" s="2">
        <v>1.4200000000000001E-2</v>
      </c>
      <c r="H294" s="2">
        <v>1.4500000000000001E-2</v>
      </c>
      <c r="I294" s="2">
        <v>4.1999999999999997E-3</v>
      </c>
    </row>
    <row r="295" spans="1:9" x14ac:dyDescent="0.35">
      <c r="A295" s="3">
        <v>98</v>
      </c>
      <c r="B295" s="2">
        <v>0.66600000000000004</v>
      </c>
      <c r="C295" s="2">
        <v>1.9099999999999999E-2</v>
      </c>
      <c r="D295" s="2">
        <v>0.16569999999999999</v>
      </c>
      <c r="E295" s="2">
        <v>1.6299999999999999E-2</v>
      </c>
      <c r="F295" s="2">
        <v>0.15409999999999999</v>
      </c>
      <c r="G295" s="2">
        <v>1.4200000000000001E-2</v>
      </c>
      <c r="H295" s="2">
        <v>1.4200000000000001E-2</v>
      </c>
      <c r="I295" s="2">
        <v>4.1999999999999997E-3</v>
      </c>
    </row>
    <row r="296" spans="1:9" x14ac:dyDescent="0.35">
      <c r="A296" s="3">
        <v>99</v>
      </c>
      <c r="B296" s="2">
        <v>0.66769999999999996</v>
      </c>
      <c r="C296" s="2">
        <v>1.9199999999999998E-2</v>
      </c>
      <c r="D296" s="2">
        <v>0.1653</v>
      </c>
      <c r="E296" s="2">
        <v>1.6400000000000001E-2</v>
      </c>
      <c r="F296" s="2">
        <v>0.15290000000000001</v>
      </c>
      <c r="G296" s="2">
        <v>1.43E-2</v>
      </c>
      <c r="H296" s="2">
        <v>1.4E-2</v>
      </c>
      <c r="I296" s="2">
        <v>4.1999999999999997E-3</v>
      </c>
    </row>
    <row r="297" spans="1:9" x14ac:dyDescent="0.35">
      <c r="A297" s="3">
        <v>100</v>
      </c>
      <c r="B297" s="2">
        <v>0.66949999999999998</v>
      </c>
      <c r="C297" s="2">
        <v>1.9300000000000001E-2</v>
      </c>
      <c r="D297" s="2">
        <v>0.16500000000000001</v>
      </c>
      <c r="E297" s="2">
        <v>1.6500000000000001E-2</v>
      </c>
      <c r="F297" s="2">
        <v>0.1517</v>
      </c>
      <c r="G297" s="2">
        <v>1.43E-2</v>
      </c>
      <c r="H297" s="2">
        <v>1.38E-2</v>
      </c>
      <c r="I297" s="2">
        <v>4.1000000000000003E-3</v>
      </c>
    </row>
    <row r="298" spans="1:9" x14ac:dyDescent="0.35">
      <c r="A298" s="23"/>
      <c r="B298" s="24"/>
      <c r="C298" s="24"/>
      <c r="D298" s="24"/>
      <c r="E298" s="24"/>
      <c r="F298" s="24"/>
      <c r="G298" s="24"/>
      <c r="H298" s="24"/>
      <c r="I298" s="25"/>
    </row>
    <row r="299" spans="1:9" x14ac:dyDescent="0.35">
      <c r="A299" s="2"/>
      <c r="B299" s="20" t="s">
        <v>116</v>
      </c>
      <c r="C299" s="21"/>
      <c r="D299" s="21"/>
      <c r="E299" s="21"/>
      <c r="F299" s="21"/>
      <c r="G299" s="21"/>
      <c r="H299" s="21"/>
      <c r="I299" s="22"/>
    </row>
    <row r="300" spans="1:9" x14ac:dyDescent="0.35">
      <c r="A300" s="3" t="s">
        <v>110</v>
      </c>
      <c r="B300" s="3" t="s">
        <v>88</v>
      </c>
      <c r="C300" s="3" t="s">
        <v>105</v>
      </c>
      <c r="D300" s="3" t="s">
        <v>90</v>
      </c>
      <c r="E300" s="3" t="s">
        <v>105</v>
      </c>
      <c r="F300" s="3" t="s">
        <v>91</v>
      </c>
      <c r="G300" s="3" t="s">
        <v>105</v>
      </c>
      <c r="H300" s="3" t="s">
        <v>92</v>
      </c>
      <c r="I300" s="3" t="s">
        <v>105</v>
      </c>
    </row>
    <row r="301" spans="1:9" x14ac:dyDescent="0.35">
      <c r="A301" s="3">
        <v>1</v>
      </c>
      <c r="B301" s="2">
        <v>0.95289999999999997</v>
      </c>
      <c r="C301" s="2" t="s">
        <v>11</v>
      </c>
      <c r="D301" s="2">
        <v>3.7100000000000001E-2</v>
      </c>
      <c r="E301" s="2" t="s">
        <v>11</v>
      </c>
      <c r="F301" s="2">
        <v>9.4999999999999998E-3</v>
      </c>
      <c r="G301" s="2" t="s">
        <v>11</v>
      </c>
      <c r="H301" s="2">
        <v>5.0000000000000001E-4</v>
      </c>
      <c r="I301" s="2" t="s">
        <v>11</v>
      </c>
    </row>
    <row r="302" spans="1:9" x14ac:dyDescent="0.35">
      <c r="A302" s="3">
        <v>2</v>
      </c>
      <c r="B302" s="2">
        <v>0.1469</v>
      </c>
      <c r="C302" s="2" t="s">
        <v>11</v>
      </c>
      <c r="D302" s="2">
        <v>0.80220000000000002</v>
      </c>
      <c r="E302" s="2" t="s">
        <v>11</v>
      </c>
      <c r="F302" s="2">
        <v>5.0700000000000002E-2</v>
      </c>
      <c r="G302" s="2" t="s">
        <v>11</v>
      </c>
      <c r="H302" s="2">
        <v>2.0000000000000001E-4</v>
      </c>
      <c r="I302" s="2" t="s">
        <v>11</v>
      </c>
    </row>
    <row r="303" spans="1:9" x14ac:dyDescent="0.35">
      <c r="A303" s="3">
        <v>3</v>
      </c>
      <c r="B303" s="2">
        <v>3.8800000000000001E-2</v>
      </c>
      <c r="C303" s="2" t="s">
        <v>11</v>
      </c>
      <c r="D303" s="2">
        <v>5.2499999999999998E-2</v>
      </c>
      <c r="E303" s="2" t="s">
        <v>11</v>
      </c>
      <c r="F303" s="2">
        <v>0.90569999999999995</v>
      </c>
      <c r="G303" s="2" t="s">
        <v>11</v>
      </c>
      <c r="H303" s="2">
        <v>3.0000000000000001E-3</v>
      </c>
      <c r="I303" s="2" t="s">
        <v>11</v>
      </c>
    </row>
    <row r="304" spans="1:9" x14ac:dyDescent="0.35">
      <c r="A304" s="3">
        <v>4</v>
      </c>
      <c r="B304" s="2">
        <v>1.9400000000000001E-2</v>
      </c>
      <c r="C304" s="2" t="s">
        <v>11</v>
      </c>
      <c r="D304" s="2">
        <v>2E-3</v>
      </c>
      <c r="E304" s="2" t="s">
        <v>11</v>
      </c>
      <c r="F304" s="2">
        <v>2.9399999999999999E-2</v>
      </c>
      <c r="G304" s="2" t="s">
        <v>11</v>
      </c>
      <c r="H304" s="2">
        <v>0.94920000000000004</v>
      </c>
      <c r="I304" s="2" t="s">
        <v>11</v>
      </c>
    </row>
  </sheetData>
  <mergeCells count="5">
    <mergeCell ref="A3:F3"/>
    <mergeCell ref="B69:F69"/>
    <mergeCell ref="B244:I244"/>
    <mergeCell ref="A298:I298"/>
    <mergeCell ref="B299:I299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P204"/>
  <sheetViews>
    <sheetView topLeftCell="A176" workbookViewId="0">
      <selection activeCell="I196" sqref="I196"/>
    </sheetView>
  </sheetViews>
  <sheetFormatPr defaultColWidth="36.26953125" defaultRowHeight="14.5" x14ac:dyDescent="0.35"/>
  <cols>
    <col min="1" max="1" width="32.26953125" bestFit="1" customWidth="1"/>
    <col min="2" max="2" width="12.1796875" bestFit="1" customWidth="1"/>
    <col min="3" max="4" width="9.54296875" bestFit="1" customWidth="1"/>
    <col min="5" max="5" width="8.54296875" bestFit="1" customWidth="1"/>
    <col min="6" max="6" width="9.54296875" bestFit="1" customWidth="1"/>
    <col min="7" max="7" width="7.26953125" bestFit="1" customWidth="1"/>
    <col min="8" max="8" width="8.26953125" bestFit="1" customWidth="1"/>
    <col min="9" max="9" width="6.54296875" bestFit="1" customWidth="1"/>
    <col min="10" max="10" width="7.26953125" bestFit="1" customWidth="1"/>
    <col min="11" max="11" width="8.26953125" bestFit="1" customWidth="1"/>
    <col min="12" max="12" width="6.54296875" bestFit="1" customWidth="1"/>
    <col min="13" max="13" width="7.26953125" bestFit="1" customWidth="1"/>
    <col min="14" max="14" width="8.54296875" bestFit="1" customWidth="1"/>
    <col min="15" max="15" width="8.453125" bestFit="1" customWidth="1"/>
  </cols>
  <sheetData>
    <row r="1" spans="1:6" ht="17.5" x14ac:dyDescent="0.35">
      <c r="A1" s="1" t="s">
        <v>145</v>
      </c>
    </row>
    <row r="3" spans="1:6" x14ac:dyDescent="0.35">
      <c r="A3" s="20" t="s">
        <v>0</v>
      </c>
      <c r="B3" s="21"/>
      <c r="C3" s="21"/>
      <c r="D3" s="21"/>
      <c r="E3" s="21"/>
      <c r="F3" s="22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13388</v>
      </c>
      <c r="C5" s="2"/>
      <c r="D5" s="2"/>
      <c r="E5" s="2"/>
      <c r="F5" s="2"/>
    </row>
    <row r="6" spans="1:6" x14ac:dyDescent="0.35">
      <c r="A6" s="3" t="s">
        <v>2</v>
      </c>
      <c r="B6" s="2">
        <v>6</v>
      </c>
      <c r="C6" s="2"/>
      <c r="D6" s="2"/>
      <c r="E6" s="2"/>
      <c r="F6" s="2"/>
    </row>
    <row r="7" spans="1:6" x14ac:dyDescent="0.35">
      <c r="A7" s="3" t="s">
        <v>3</v>
      </c>
      <c r="B7" s="2">
        <v>13.414999999999999</v>
      </c>
      <c r="C7" s="2"/>
      <c r="D7" s="2"/>
      <c r="E7" s="2"/>
      <c r="F7" s="2"/>
    </row>
    <row r="8" spans="1:6" x14ac:dyDescent="0.35">
      <c r="A8" s="3" t="s">
        <v>4</v>
      </c>
      <c r="B8" s="2">
        <v>13.414999999999999</v>
      </c>
      <c r="C8" s="2"/>
      <c r="D8" s="2"/>
      <c r="E8" s="2"/>
      <c r="F8" s="2"/>
    </row>
    <row r="9" spans="1:6" x14ac:dyDescent="0.35">
      <c r="A9" s="3" t="s">
        <v>5</v>
      </c>
      <c r="B9" s="2">
        <v>1680</v>
      </c>
      <c r="C9" s="2"/>
      <c r="D9" s="2"/>
      <c r="E9" s="2"/>
      <c r="F9" s="2"/>
    </row>
    <row r="10" spans="1:6" x14ac:dyDescent="0.35">
      <c r="A10" s="3" t="s">
        <v>6</v>
      </c>
      <c r="B10" s="2">
        <v>1680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0</v>
      </c>
      <c r="C17" s="2"/>
      <c r="D17" s="2"/>
      <c r="E17" s="2"/>
      <c r="F17" s="2"/>
    </row>
    <row r="18" spans="1:6" x14ac:dyDescent="0.35">
      <c r="A18" s="3" t="s">
        <v>15</v>
      </c>
      <c r="B18" s="2">
        <v>0</v>
      </c>
      <c r="C18" s="2"/>
      <c r="D18" s="2"/>
      <c r="E18" s="2"/>
      <c r="F18" s="2"/>
    </row>
    <row r="19" spans="1:6" x14ac:dyDescent="0.35">
      <c r="A19" s="3" t="s">
        <v>16</v>
      </c>
      <c r="B19" s="2">
        <v>0</v>
      </c>
      <c r="C19" s="2"/>
      <c r="D19" s="2"/>
      <c r="E19" s="2"/>
      <c r="F19" s="2"/>
    </row>
    <row r="20" spans="1:6" x14ac:dyDescent="0.35">
      <c r="A20" s="3" t="s">
        <v>17</v>
      </c>
      <c r="B20" s="2">
        <v>0</v>
      </c>
      <c r="C20" s="2"/>
      <c r="D20" s="2"/>
      <c r="E20" s="2"/>
      <c r="F20" s="2"/>
    </row>
    <row r="21" spans="1:6" x14ac:dyDescent="0.35">
      <c r="A21" s="3" t="s">
        <v>18</v>
      </c>
      <c r="B21" s="2">
        <v>0</v>
      </c>
      <c r="C21" s="2"/>
      <c r="D21" s="2"/>
      <c r="E21" s="2"/>
      <c r="F21" s="2"/>
    </row>
    <row r="22" spans="1:6" x14ac:dyDescent="0.35">
      <c r="A22" s="3" t="s">
        <v>19</v>
      </c>
      <c r="B22" s="2">
        <v>0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-12478.657800000001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-12478.657800000001</v>
      </c>
      <c r="C27" s="2"/>
      <c r="D27" s="2"/>
      <c r="E27" s="2"/>
      <c r="F27" s="2"/>
    </row>
    <row r="28" spans="1:6" x14ac:dyDescent="0.35">
      <c r="A28" s="3" t="s">
        <v>24</v>
      </c>
      <c r="B28" s="2">
        <v>25014.328300000001</v>
      </c>
      <c r="C28" s="2"/>
      <c r="D28" s="2"/>
      <c r="E28" s="2"/>
      <c r="F28" s="2"/>
    </row>
    <row r="29" spans="1:6" x14ac:dyDescent="0.35">
      <c r="A29" s="3" t="s">
        <v>25</v>
      </c>
      <c r="B29" s="2">
        <v>24969.315600000002</v>
      </c>
      <c r="C29" s="2"/>
      <c r="D29" s="2"/>
      <c r="E29" s="2"/>
      <c r="F29" s="2"/>
    </row>
    <row r="30" spans="1:6" x14ac:dyDescent="0.35">
      <c r="A30" s="3" t="s">
        <v>26</v>
      </c>
      <c r="B30" s="2">
        <v>24975.315600000002</v>
      </c>
      <c r="C30" s="2"/>
      <c r="D30" s="2"/>
      <c r="E30" s="2"/>
      <c r="F30" s="2"/>
    </row>
    <row r="31" spans="1:6" x14ac:dyDescent="0.35">
      <c r="A31" s="3" t="s">
        <v>27</v>
      </c>
      <c r="B31" s="2">
        <v>25020.328300000001</v>
      </c>
      <c r="C31" s="2"/>
      <c r="D31" s="2"/>
      <c r="E31" s="2"/>
      <c r="F31" s="2"/>
    </row>
    <row r="32" spans="1:6" x14ac:dyDescent="0.35">
      <c r="A32" s="3" t="s">
        <v>28</v>
      </c>
      <c r="B32" s="2">
        <v>24995.260900000001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0.34289999999999998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4.1999999999999997E-3</v>
      </c>
      <c r="C38" s="2"/>
      <c r="D38" s="2"/>
      <c r="E38" s="2"/>
      <c r="F38" s="2"/>
    </row>
    <row r="39" spans="1:6" x14ac:dyDescent="0.35">
      <c r="A39" s="3" t="s">
        <v>33</v>
      </c>
      <c r="B39" s="2">
        <v>5.1999999999999998E-3</v>
      </c>
      <c r="C39" s="2"/>
      <c r="D39" s="2"/>
      <c r="E39" s="2"/>
      <c r="F39" s="2"/>
    </row>
    <row r="40" spans="1:6" x14ac:dyDescent="0.35">
      <c r="A40" s="3" t="s">
        <v>34</v>
      </c>
      <c r="B40" s="2">
        <v>-24946.632900000001</v>
      </c>
      <c r="C40" s="2"/>
      <c r="D40" s="2"/>
      <c r="E40" s="2"/>
      <c r="F40" s="2"/>
    </row>
    <row r="41" spans="1:6" x14ac:dyDescent="0.35">
      <c r="A41" s="3" t="s">
        <v>35</v>
      </c>
      <c r="B41" s="2">
        <v>12467.9751</v>
      </c>
      <c r="C41" s="2"/>
      <c r="D41" s="2"/>
      <c r="E41" s="2"/>
      <c r="F41" s="2"/>
    </row>
    <row r="42" spans="1:6" x14ac:dyDescent="0.35">
      <c r="A42" s="3" t="s">
        <v>36</v>
      </c>
      <c r="B42" s="2">
        <v>49893.265700000004</v>
      </c>
      <c r="C42" s="2"/>
      <c r="D42" s="2"/>
      <c r="E42" s="2"/>
      <c r="F42" s="2"/>
    </row>
    <row r="43" spans="1:6" x14ac:dyDescent="0.35">
      <c r="A43" s="3" t="s">
        <v>37</v>
      </c>
      <c r="B43" s="2">
        <v>50025.291100000002</v>
      </c>
      <c r="C43" s="2"/>
      <c r="D43" s="2"/>
      <c r="E43" s="2"/>
      <c r="F43" s="2"/>
    </row>
    <row r="44" spans="1:6" x14ac:dyDescent="0.35">
      <c r="A44" s="3" t="s">
        <v>38</v>
      </c>
      <c r="B44" s="2">
        <v>49950.278400000003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8797.2039000000004</v>
      </c>
      <c r="C48" s="2">
        <v>0</v>
      </c>
      <c r="D48" s="2">
        <v>0</v>
      </c>
      <c r="E48" s="2">
        <v>0</v>
      </c>
      <c r="F48" s="2">
        <v>8797.2039000000004</v>
      </c>
    </row>
    <row r="49" spans="1:6" x14ac:dyDescent="0.35">
      <c r="A49" s="3" t="s">
        <v>43</v>
      </c>
      <c r="B49" s="2">
        <v>2224.0382</v>
      </c>
      <c r="C49" s="2">
        <v>0</v>
      </c>
      <c r="D49" s="2">
        <v>0</v>
      </c>
      <c r="E49" s="2">
        <v>0</v>
      </c>
      <c r="F49" s="2">
        <v>2224.0382</v>
      </c>
    </row>
    <row r="50" spans="1:6" x14ac:dyDescent="0.35">
      <c r="A50" s="3" t="s">
        <v>44</v>
      </c>
      <c r="B50" s="2">
        <v>2146.3386999999998</v>
      </c>
      <c r="C50" s="2">
        <v>0</v>
      </c>
      <c r="D50" s="2">
        <v>0</v>
      </c>
      <c r="E50" s="2">
        <v>0</v>
      </c>
      <c r="F50" s="2">
        <v>2146.3386999999998</v>
      </c>
    </row>
    <row r="51" spans="1:6" x14ac:dyDescent="0.35">
      <c r="A51" s="3" t="s">
        <v>45</v>
      </c>
      <c r="B51" s="2">
        <v>220.41919999999999</v>
      </c>
      <c r="C51" s="2">
        <v>0</v>
      </c>
      <c r="D51" s="2">
        <v>0</v>
      </c>
      <c r="E51" s="2">
        <v>0</v>
      </c>
      <c r="F51" s="2">
        <v>220.41919999999999</v>
      </c>
    </row>
    <row r="52" spans="1:6" x14ac:dyDescent="0.35">
      <c r="A52" s="3" t="s">
        <v>46</v>
      </c>
      <c r="B52" s="2">
        <v>13388</v>
      </c>
      <c r="C52" s="2">
        <v>0</v>
      </c>
      <c r="D52" s="2">
        <v>0</v>
      </c>
      <c r="E52" s="2">
        <v>0</v>
      </c>
      <c r="F52" s="2">
        <v>13388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5803.8112000000001</v>
      </c>
      <c r="C56" s="2">
        <v>1454.1954000000001</v>
      </c>
      <c r="D56" s="2">
        <v>1394.99</v>
      </c>
      <c r="E56" s="2">
        <v>144.2072</v>
      </c>
      <c r="F56" s="2">
        <v>8797.2039000000004</v>
      </c>
    </row>
    <row r="57" spans="1:6" x14ac:dyDescent="0.35">
      <c r="A57" s="3" t="s">
        <v>43</v>
      </c>
      <c r="B57" s="2">
        <v>1454.1954000000001</v>
      </c>
      <c r="C57" s="2">
        <v>371.70269999999999</v>
      </c>
      <c r="D57" s="2">
        <v>361.32810000000001</v>
      </c>
      <c r="E57" s="2">
        <v>36.811999999999998</v>
      </c>
      <c r="F57" s="2">
        <v>2224.0382</v>
      </c>
    </row>
    <row r="58" spans="1:6" x14ac:dyDescent="0.35">
      <c r="A58" s="3" t="s">
        <v>44</v>
      </c>
      <c r="B58" s="2">
        <v>1394.99</v>
      </c>
      <c r="C58" s="2">
        <v>361.32810000000001</v>
      </c>
      <c r="D58" s="2">
        <v>354.26670000000001</v>
      </c>
      <c r="E58" s="2">
        <v>35.753900000000002</v>
      </c>
      <c r="F58" s="2">
        <v>2146.3386999999998</v>
      </c>
    </row>
    <row r="59" spans="1:6" x14ac:dyDescent="0.35">
      <c r="A59" s="3" t="s">
        <v>45</v>
      </c>
      <c r="B59" s="2">
        <v>144.2072</v>
      </c>
      <c r="C59" s="2">
        <v>36.811999999999998</v>
      </c>
      <c r="D59" s="2">
        <v>35.753900000000002</v>
      </c>
      <c r="E59" s="2">
        <v>3.6459999999999999</v>
      </c>
      <c r="F59" s="2">
        <v>220.41919999999999</v>
      </c>
    </row>
    <row r="60" spans="1:6" x14ac:dyDescent="0.35">
      <c r="A60" s="3" t="s">
        <v>46</v>
      </c>
      <c r="B60" s="2">
        <v>8797.2039000000004</v>
      </c>
      <c r="C60" s="2">
        <v>2224.0382</v>
      </c>
      <c r="D60" s="2">
        <v>2146.3386999999998</v>
      </c>
      <c r="E60" s="2">
        <v>220.41919999999999</v>
      </c>
      <c r="F60" s="2">
        <v>13388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0.34289999999999998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4.1999999999999997E-3</v>
      </c>
      <c r="C65" s="2"/>
      <c r="D65" s="2"/>
      <c r="E65" s="2"/>
      <c r="F65" s="2"/>
    </row>
    <row r="66" spans="1:6" x14ac:dyDescent="0.35">
      <c r="A66" s="3" t="s">
        <v>33</v>
      </c>
      <c r="B66" s="2">
        <v>5.1999999999999998E-3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23" t="s">
        <v>135</v>
      </c>
      <c r="C69" s="24"/>
      <c r="D69" s="24"/>
      <c r="E69" s="24"/>
      <c r="F69" s="25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52</v>
      </c>
      <c r="B71" s="2"/>
      <c r="C71" s="2"/>
      <c r="D71" s="2"/>
      <c r="E71" s="2"/>
      <c r="F71" s="2"/>
    </row>
    <row r="72" spans="1:6" x14ac:dyDescent="0.35">
      <c r="A72" s="3" t="s">
        <v>53</v>
      </c>
      <c r="B72" s="2">
        <v>4</v>
      </c>
      <c r="C72" s="2"/>
      <c r="D72" s="2"/>
      <c r="E72" s="2"/>
      <c r="F72" s="2"/>
    </row>
    <row r="73" spans="1:6" x14ac:dyDescent="0.35">
      <c r="A73" s="3" t="s">
        <v>54</v>
      </c>
      <c r="B73" s="2"/>
      <c r="C73" s="2"/>
      <c r="D73" s="2"/>
      <c r="E73" s="2"/>
      <c r="F73" s="2"/>
    </row>
    <row r="74" spans="1:6" x14ac:dyDescent="0.35">
      <c r="A74" s="3" t="s">
        <v>55</v>
      </c>
      <c r="B74" s="4">
        <v>1E-8</v>
      </c>
      <c r="C74" s="2"/>
      <c r="D74" s="2"/>
      <c r="E74" s="2"/>
      <c r="F74" s="2"/>
    </row>
    <row r="75" spans="1:6" x14ac:dyDescent="0.35">
      <c r="A75" s="3" t="s">
        <v>56</v>
      </c>
      <c r="B75" s="2">
        <v>0.01</v>
      </c>
      <c r="C75" s="2"/>
      <c r="D75" s="2"/>
      <c r="E75" s="2"/>
      <c r="F75" s="2"/>
    </row>
    <row r="76" spans="1:6" x14ac:dyDescent="0.35">
      <c r="A76" s="3" t="s">
        <v>57</v>
      </c>
      <c r="B76" s="2">
        <v>250</v>
      </c>
      <c r="C76" s="2"/>
      <c r="D76" s="2"/>
      <c r="E76" s="2"/>
      <c r="F76" s="2"/>
    </row>
    <row r="77" spans="1:6" x14ac:dyDescent="0.35">
      <c r="A77" s="3" t="s">
        <v>58</v>
      </c>
      <c r="B77" s="2">
        <v>50</v>
      </c>
      <c r="C77" s="2"/>
      <c r="D77" s="2"/>
      <c r="E77" s="2"/>
      <c r="F77" s="2"/>
    </row>
    <row r="78" spans="1:6" x14ac:dyDescent="0.35">
      <c r="A78" s="3" t="s">
        <v>59</v>
      </c>
      <c r="B78" s="2"/>
      <c r="C78" s="2"/>
      <c r="D78" s="2"/>
      <c r="E78" s="2"/>
      <c r="F78" s="2"/>
    </row>
    <row r="79" spans="1:6" x14ac:dyDescent="0.35">
      <c r="A79" s="3" t="s">
        <v>60</v>
      </c>
      <c r="B79" s="2">
        <v>1680</v>
      </c>
      <c r="C79" s="2"/>
      <c r="D79" s="2"/>
      <c r="E79" s="2"/>
      <c r="F79" s="2"/>
    </row>
    <row r="80" spans="1:6" x14ac:dyDescent="0.35">
      <c r="A80" s="3" t="s">
        <v>61</v>
      </c>
      <c r="B80" s="2">
        <v>0</v>
      </c>
      <c r="C80" s="2"/>
      <c r="D80" s="2"/>
      <c r="E80" s="2"/>
      <c r="F80" s="2"/>
    </row>
    <row r="81" spans="1:6" x14ac:dyDescent="0.3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62</v>
      </c>
      <c r="B82" s="2">
        <v>150</v>
      </c>
      <c r="C82" s="2"/>
      <c r="D82" s="2"/>
      <c r="E82" s="2"/>
      <c r="F82" s="2"/>
    </row>
    <row r="83" spans="1:6" x14ac:dyDescent="0.35">
      <c r="A83" s="3" t="s">
        <v>63</v>
      </c>
      <c r="B83" s="2"/>
      <c r="C83" s="2"/>
      <c r="D83" s="2"/>
      <c r="E83" s="2"/>
      <c r="F83" s="2"/>
    </row>
    <row r="84" spans="1:6" x14ac:dyDescent="0.35">
      <c r="A84" s="3" t="s">
        <v>64</v>
      </c>
      <c r="B84" s="2">
        <v>1</v>
      </c>
      <c r="C84" s="2"/>
      <c r="D84" s="2"/>
      <c r="E84" s="2"/>
      <c r="F84" s="2"/>
    </row>
    <row r="85" spans="1:6" x14ac:dyDescent="0.35">
      <c r="A85" s="3" t="s">
        <v>65</v>
      </c>
      <c r="B85" s="2">
        <v>1</v>
      </c>
      <c r="C85" s="2"/>
      <c r="D85" s="2"/>
      <c r="E85" s="2"/>
      <c r="F85" s="2"/>
    </row>
    <row r="86" spans="1:6" x14ac:dyDescent="0.35">
      <c r="A86" s="3" t="s">
        <v>66</v>
      </c>
      <c r="B86" s="2">
        <v>0</v>
      </c>
      <c r="C86" s="2"/>
      <c r="D86" s="2"/>
      <c r="E86" s="2"/>
      <c r="F86" s="2"/>
    </row>
    <row r="87" spans="1:6" x14ac:dyDescent="0.35">
      <c r="A87" s="3" t="s">
        <v>67</v>
      </c>
      <c r="B87" s="2">
        <v>1</v>
      </c>
      <c r="C87" s="2"/>
      <c r="D87" s="2"/>
      <c r="E87" s="2"/>
      <c r="F87" s="2"/>
    </row>
    <row r="88" spans="1:6" x14ac:dyDescent="0.35">
      <c r="A88" s="3" t="s">
        <v>68</v>
      </c>
      <c r="B88" s="2"/>
      <c r="C88" s="2"/>
      <c r="D88" s="2"/>
      <c r="E88" s="2"/>
      <c r="F88" s="2"/>
    </row>
    <row r="89" spans="1:6" x14ac:dyDescent="0.35">
      <c r="A89" s="3" t="s">
        <v>69</v>
      </c>
      <c r="B89" s="2">
        <v>10</v>
      </c>
      <c r="C89" s="2"/>
      <c r="D89" s="2"/>
      <c r="E89" s="2"/>
      <c r="F89" s="2"/>
    </row>
    <row r="90" spans="1:6" x14ac:dyDescent="0.3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35">
      <c r="A91" s="3" t="s">
        <v>72</v>
      </c>
      <c r="B91" s="2"/>
      <c r="C91" s="2"/>
      <c r="D91" s="2"/>
      <c r="E91" s="2"/>
      <c r="F91" s="2"/>
    </row>
    <row r="92" spans="1:6" x14ac:dyDescent="0.3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3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3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35">
      <c r="A95" s="3" t="s">
        <v>79</v>
      </c>
      <c r="B95" s="2"/>
      <c r="C95" s="2"/>
      <c r="D95" s="2"/>
      <c r="E95" s="2"/>
      <c r="F95" s="2"/>
    </row>
    <row r="96" spans="1:6" x14ac:dyDescent="0.3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3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35">
      <c r="A98" s="3" t="s">
        <v>84</v>
      </c>
      <c r="B98" s="2">
        <v>13388</v>
      </c>
      <c r="C98" s="2"/>
      <c r="D98" s="2"/>
      <c r="E98" s="2"/>
      <c r="F98" s="2"/>
    </row>
    <row r="99" spans="1:6" x14ac:dyDescent="0.3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86</v>
      </c>
      <c r="B101" s="2"/>
      <c r="C101" s="2"/>
      <c r="D101" s="2"/>
      <c r="E101" s="2"/>
      <c r="F101" s="2"/>
    </row>
    <row r="102" spans="1:6" x14ac:dyDescent="0.35">
      <c r="A102" s="3" t="s">
        <v>87</v>
      </c>
      <c r="B102" s="2"/>
      <c r="C102" s="2"/>
      <c r="D102" s="2"/>
      <c r="E102" s="2"/>
      <c r="F102" s="2"/>
    </row>
    <row r="103" spans="1:6" x14ac:dyDescent="0.35">
      <c r="A103" s="3" t="s">
        <v>88</v>
      </c>
      <c r="B103" s="2"/>
      <c r="C103" s="2">
        <v>711</v>
      </c>
      <c r="D103" s="2"/>
      <c r="E103" s="2"/>
      <c r="F103" s="2"/>
    </row>
    <row r="104" spans="1:6" x14ac:dyDescent="0.3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3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3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3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35">
      <c r="A108" s="3" t="s">
        <v>89</v>
      </c>
      <c r="B108" s="2"/>
      <c r="C108" s="2"/>
      <c r="D108" s="2"/>
      <c r="E108" s="2"/>
      <c r="F108" s="2"/>
    </row>
    <row r="109" spans="1:6" x14ac:dyDescent="0.3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3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3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35">
      <c r="A112" s="3" t="s">
        <v>90</v>
      </c>
      <c r="B112" s="2"/>
      <c r="C112" s="2">
        <v>711</v>
      </c>
      <c r="D112" s="2"/>
      <c r="E112" s="2"/>
      <c r="F112" s="2"/>
    </row>
    <row r="113" spans="1:6" x14ac:dyDescent="0.3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3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3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3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35">
      <c r="A117" s="3" t="s">
        <v>89</v>
      </c>
      <c r="B117" s="2"/>
      <c r="C117" s="2"/>
      <c r="D117" s="2"/>
      <c r="E117" s="2"/>
      <c r="F117" s="2"/>
    </row>
    <row r="118" spans="1:6" x14ac:dyDescent="0.3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3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35">
      <c r="A121" s="3" t="s">
        <v>91</v>
      </c>
      <c r="B121" s="2"/>
      <c r="C121" s="2">
        <v>711</v>
      </c>
      <c r="D121" s="2"/>
      <c r="E121" s="2"/>
      <c r="F121" s="2"/>
    </row>
    <row r="122" spans="1:6" x14ac:dyDescent="0.3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3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3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3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35">
      <c r="A126" s="3" t="s">
        <v>89</v>
      </c>
      <c r="B126" s="2"/>
      <c r="C126" s="2"/>
      <c r="D126" s="2"/>
      <c r="E126" s="2"/>
      <c r="F126" s="2"/>
    </row>
    <row r="127" spans="1:6" x14ac:dyDescent="0.3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3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3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35">
      <c r="A130" s="3" t="s">
        <v>92</v>
      </c>
      <c r="B130" s="2"/>
      <c r="C130" s="2">
        <v>711</v>
      </c>
      <c r="D130" s="2"/>
      <c r="E130" s="2"/>
      <c r="F130" s="2"/>
    </row>
    <row r="131" spans="1:6" x14ac:dyDescent="0.3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3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3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3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35">
      <c r="A135" s="3" t="s">
        <v>89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3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3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35">
      <c r="A139" s="3" t="s">
        <v>93</v>
      </c>
      <c r="B139" s="2"/>
      <c r="C139" s="2"/>
      <c r="D139" s="2"/>
      <c r="E139" s="2"/>
      <c r="F139" s="2"/>
    </row>
    <row r="140" spans="1:6" x14ac:dyDescent="0.35">
      <c r="A140" s="3" t="s">
        <v>146</v>
      </c>
      <c r="B140" s="2" t="s">
        <v>95</v>
      </c>
      <c r="C140" s="2">
        <v>2</v>
      </c>
      <c r="D140" s="2"/>
      <c r="E140" s="2"/>
      <c r="F140" s="2"/>
    </row>
    <row r="141" spans="1:6" x14ac:dyDescent="0.35">
      <c r="A141" s="3">
        <v>0</v>
      </c>
      <c r="B141" s="2">
        <v>0</v>
      </c>
      <c r="C141" s="2"/>
      <c r="D141" s="2"/>
      <c r="E141" s="2"/>
      <c r="F141" s="2"/>
    </row>
    <row r="142" spans="1:6" x14ac:dyDescent="0.35">
      <c r="A142" s="3">
        <v>100</v>
      </c>
      <c r="B142" s="2">
        <v>100</v>
      </c>
      <c r="C142" s="2"/>
      <c r="D142" s="2"/>
      <c r="E142" s="2"/>
      <c r="F142" s="2"/>
    </row>
    <row r="144" spans="1:6" ht="17.5" x14ac:dyDescent="0.35">
      <c r="A144" s="1" t="s">
        <v>102</v>
      </c>
    </row>
    <row r="146" spans="1:16" x14ac:dyDescent="0.35">
      <c r="A146" s="3" t="s">
        <v>103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35">
      <c r="A147" s="3" t="s">
        <v>104</v>
      </c>
      <c r="B147" s="3" t="s">
        <v>42</v>
      </c>
      <c r="C147" s="3" t="s">
        <v>105</v>
      </c>
      <c r="D147" s="3" t="s">
        <v>123</v>
      </c>
      <c r="E147" s="3" t="s">
        <v>43</v>
      </c>
      <c r="F147" s="3" t="s">
        <v>105</v>
      </c>
      <c r="G147" s="3" t="s">
        <v>123</v>
      </c>
      <c r="H147" s="3" t="s">
        <v>44</v>
      </c>
      <c r="I147" s="3" t="s">
        <v>105</v>
      </c>
      <c r="J147" s="3" t="s">
        <v>123</v>
      </c>
      <c r="K147" s="3" t="s">
        <v>45</v>
      </c>
      <c r="L147" s="3" t="s">
        <v>105</v>
      </c>
      <c r="M147" s="3" t="s">
        <v>123</v>
      </c>
      <c r="N147" s="3" t="s">
        <v>106</v>
      </c>
      <c r="O147" s="3" t="s">
        <v>9</v>
      </c>
      <c r="P147" s="2"/>
    </row>
    <row r="148" spans="1:16" x14ac:dyDescent="0.35">
      <c r="A148" s="3"/>
      <c r="B148" s="2">
        <v>1.407</v>
      </c>
      <c r="C148" s="2">
        <v>0.1198</v>
      </c>
      <c r="D148" s="2">
        <v>11.749599999999999</v>
      </c>
      <c r="E148" s="2">
        <v>0.28120000000000001</v>
      </c>
      <c r="F148" s="2">
        <v>0.18509999999999999</v>
      </c>
      <c r="G148" s="2">
        <v>1.5190999999999999</v>
      </c>
      <c r="H148" s="2">
        <v>0.35470000000000002</v>
      </c>
      <c r="I148" s="2">
        <v>0.13830000000000001</v>
      </c>
      <c r="J148" s="2">
        <v>2.5651000000000002</v>
      </c>
      <c r="K148" s="2">
        <v>-2.0430000000000001</v>
      </c>
      <c r="L148" s="2">
        <v>0.21329999999999999</v>
      </c>
      <c r="M148" s="2">
        <v>-9.5786999999999995</v>
      </c>
      <c r="N148" s="2">
        <v>165.59129999999999</v>
      </c>
      <c r="O148" s="4">
        <v>1.1E-35</v>
      </c>
      <c r="P148" s="2"/>
    </row>
    <row r="149" spans="1:16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35">
      <c r="A150" s="3" t="s">
        <v>107</v>
      </c>
      <c r="B150" s="3" t="s">
        <v>42</v>
      </c>
      <c r="C150" s="3" t="s">
        <v>105</v>
      </c>
      <c r="D150" s="3" t="s">
        <v>123</v>
      </c>
      <c r="E150" s="3" t="s">
        <v>43</v>
      </c>
      <c r="F150" s="3" t="s">
        <v>105</v>
      </c>
      <c r="G150" s="3" t="s">
        <v>123</v>
      </c>
      <c r="H150" s="3" t="s">
        <v>44</v>
      </c>
      <c r="I150" s="3" t="s">
        <v>105</v>
      </c>
      <c r="J150" s="3" t="s">
        <v>123</v>
      </c>
      <c r="K150" s="3" t="s">
        <v>45</v>
      </c>
      <c r="L150" s="3" t="s">
        <v>105</v>
      </c>
      <c r="M150" s="3" t="s">
        <v>123</v>
      </c>
      <c r="N150" s="3" t="s">
        <v>106</v>
      </c>
      <c r="O150" s="3" t="s">
        <v>9</v>
      </c>
      <c r="P150" s="2"/>
    </row>
    <row r="151" spans="1:16" x14ac:dyDescent="0.35">
      <c r="A151" s="3" t="s">
        <v>146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35">
      <c r="A152" s="3">
        <v>0</v>
      </c>
      <c r="B152" s="2">
        <v>0.2447</v>
      </c>
      <c r="C152" s="2">
        <v>0.1188</v>
      </c>
      <c r="D152" s="2">
        <v>2.0598000000000001</v>
      </c>
      <c r="E152" s="2">
        <v>-4.1700000000000001E-2</v>
      </c>
      <c r="F152" s="2">
        <v>0.1865</v>
      </c>
      <c r="G152" s="2">
        <v>-0.22359999999999999</v>
      </c>
      <c r="H152" s="2">
        <v>-0.1764</v>
      </c>
      <c r="I152" s="2">
        <v>0.1396</v>
      </c>
      <c r="J152" s="2">
        <v>-1.2637</v>
      </c>
      <c r="K152" s="2">
        <v>-2.6599999999999999E-2</v>
      </c>
      <c r="L152" s="2">
        <v>0.2137</v>
      </c>
      <c r="M152" s="2">
        <v>-0.1246</v>
      </c>
      <c r="N152" s="2">
        <v>6.9705000000000004</v>
      </c>
      <c r="O152" s="2">
        <v>7.2999999999999995E-2</v>
      </c>
      <c r="P152" s="2"/>
    </row>
    <row r="153" spans="1:16" x14ac:dyDescent="0.35">
      <c r="A153" s="3">
        <v>100</v>
      </c>
      <c r="B153" s="2">
        <v>-0.2447</v>
      </c>
      <c r="C153" s="2">
        <v>0.1188</v>
      </c>
      <c r="D153" s="2">
        <v>-2.0598000000000001</v>
      </c>
      <c r="E153" s="2">
        <v>4.1700000000000001E-2</v>
      </c>
      <c r="F153" s="2">
        <v>0.1865</v>
      </c>
      <c r="G153" s="2">
        <v>0.22359999999999999</v>
      </c>
      <c r="H153" s="2">
        <v>0.1764</v>
      </c>
      <c r="I153" s="2">
        <v>0.1396</v>
      </c>
      <c r="J153" s="2">
        <v>1.2637</v>
      </c>
      <c r="K153" s="2">
        <v>2.6599999999999999E-2</v>
      </c>
      <c r="L153" s="2">
        <v>0.2137</v>
      </c>
      <c r="M153" s="2">
        <v>0.1246</v>
      </c>
      <c r="N153" s="2"/>
      <c r="O153" s="2"/>
      <c r="P153" s="2"/>
    </row>
    <row r="154" spans="1:16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7.5" x14ac:dyDescent="0.35">
      <c r="A156" s="1" t="s">
        <v>108</v>
      </c>
    </row>
    <row r="158" spans="1:16" x14ac:dyDescent="0.35">
      <c r="A158" s="3" t="s">
        <v>103</v>
      </c>
      <c r="B158" s="3"/>
      <c r="C158" s="3"/>
      <c r="D158" s="3" t="s">
        <v>106</v>
      </c>
      <c r="E158" s="3" t="s">
        <v>109</v>
      </c>
      <c r="F158" s="3" t="s">
        <v>9</v>
      </c>
    </row>
    <row r="159" spans="1:16" x14ac:dyDescent="0.35">
      <c r="A159" s="3" t="s">
        <v>104</v>
      </c>
      <c r="B159" s="2"/>
      <c r="C159" s="2"/>
      <c r="D159" s="2"/>
      <c r="E159" s="2"/>
      <c r="F159" s="2"/>
    </row>
    <row r="160" spans="1:16" x14ac:dyDescent="0.35">
      <c r="A160" s="3" t="s">
        <v>110</v>
      </c>
      <c r="B160" s="3">
        <v>1</v>
      </c>
      <c r="C160" s="3">
        <v>2</v>
      </c>
      <c r="D160" s="2">
        <v>20.996500000000001</v>
      </c>
      <c r="E160" s="2">
        <v>1</v>
      </c>
      <c r="F160" s="4">
        <v>4.6E-6</v>
      </c>
    </row>
    <row r="161" spans="1:9" x14ac:dyDescent="0.35">
      <c r="A161" s="3" t="s">
        <v>110</v>
      </c>
      <c r="B161" s="3">
        <v>1</v>
      </c>
      <c r="C161" s="3">
        <v>3</v>
      </c>
      <c r="D161" s="2">
        <v>39.434100000000001</v>
      </c>
      <c r="E161" s="2">
        <v>1</v>
      </c>
      <c r="F161" s="4">
        <v>3.4000000000000001E-10</v>
      </c>
    </row>
    <row r="162" spans="1:9" x14ac:dyDescent="0.35">
      <c r="A162" s="3" t="s">
        <v>110</v>
      </c>
      <c r="B162" s="3">
        <v>1</v>
      </c>
      <c r="C162" s="3">
        <v>4</v>
      </c>
      <c r="D162" s="2">
        <v>144.92910000000001</v>
      </c>
      <c r="E162" s="2">
        <v>1</v>
      </c>
      <c r="F162" s="4">
        <v>2.2000000000000001E-33</v>
      </c>
    </row>
    <row r="163" spans="1:9" x14ac:dyDescent="0.35">
      <c r="A163" s="3" t="s">
        <v>110</v>
      </c>
      <c r="B163" s="3">
        <v>2</v>
      </c>
      <c r="C163" s="3">
        <v>3</v>
      </c>
      <c r="D163" s="2">
        <v>7.8200000000000006E-2</v>
      </c>
      <c r="E163" s="2">
        <v>1</v>
      </c>
      <c r="F163" s="2">
        <v>0.78</v>
      </c>
    </row>
    <row r="164" spans="1:9" x14ac:dyDescent="0.35">
      <c r="A164" s="3" t="s">
        <v>110</v>
      </c>
      <c r="B164" s="3">
        <v>2</v>
      </c>
      <c r="C164" s="3">
        <v>4</v>
      </c>
      <c r="D164" s="2">
        <v>44.772799999999997</v>
      </c>
      <c r="E164" s="2">
        <v>1</v>
      </c>
      <c r="F164" s="4">
        <v>2.2000000000000002E-11</v>
      </c>
    </row>
    <row r="165" spans="1:9" x14ac:dyDescent="0.35">
      <c r="A165" s="3" t="s">
        <v>110</v>
      </c>
      <c r="B165" s="3">
        <v>3</v>
      </c>
      <c r="C165" s="3">
        <v>4</v>
      </c>
      <c r="D165" s="2">
        <v>62.219799999999999</v>
      </c>
      <c r="E165" s="2">
        <v>1</v>
      </c>
      <c r="F165" s="4">
        <v>3.0999999999999999E-15</v>
      </c>
    </row>
    <row r="166" spans="1:9" x14ac:dyDescent="0.35">
      <c r="A166" s="3" t="s">
        <v>146</v>
      </c>
      <c r="B166" s="2"/>
      <c r="C166" s="2"/>
      <c r="D166" s="2"/>
      <c r="E166" s="2"/>
      <c r="F166" s="2"/>
    </row>
    <row r="167" spans="1:9" x14ac:dyDescent="0.35">
      <c r="A167" s="3" t="s">
        <v>110</v>
      </c>
      <c r="B167" s="3">
        <v>1</v>
      </c>
      <c r="C167" s="3">
        <v>2</v>
      </c>
      <c r="D167" s="2">
        <v>1.3506</v>
      </c>
      <c r="E167" s="2">
        <v>1</v>
      </c>
      <c r="F167" s="2">
        <v>0.25</v>
      </c>
    </row>
    <row r="168" spans="1:9" x14ac:dyDescent="0.35">
      <c r="A168" s="3" t="s">
        <v>110</v>
      </c>
      <c r="B168" s="3">
        <v>1</v>
      </c>
      <c r="C168" s="3">
        <v>3</v>
      </c>
      <c r="D168" s="2">
        <v>6.3672000000000004</v>
      </c>
      <c r="E168" s="2">
        <v>1</v>
      </c>
      <c r="F168" s="2">
        <v>1.2E-2</v>
      </c>
    </row>
    <row r="169" spans="1:9" x14ac:dyDescent="0.35">
      <c r="A169" s="3" t="s">
        <v>110</v>
      </c>
      <c r="B169" s="3">
        <v>1</v>
      </c>
      <c r="C169" s="3">
        <v>4</v>
      </c>
      <c r="D169" s="2">
        <v>0.89880000000000004</v>
      </c>
      <c r="E169" s="2">
        <v>1</v>
      </c>
      <c r="F169" s="2">
        <v>0.34</v>
      </c>
    </row>
    <row r="170" spans="1:9" x14ac:dyDescent="0.35">
      <c r="A170" s="3" t="s">
        <v>110</v>
      </c>
      <c r="B170" s="3">
        <v>2</v>
      </c>
      <c r="C170" s="3">
        <v>3</v>
      </c>
      <c r="D170" s="2">
        <v>0.25569999999999998</v>
      </c>
      <c r="E170" s="2">
        <v>1</v>
      </c>
      <c r="F170" s="2">
        <v>0.61</v>
      </c>
    </row>
    <row r="171" spans="1:9" x14ac:dyDescent="0.35">
      <c r="A171" s="3" t="s">
        <v>110</v>
      </c>
      <c r="B171" s="3">
        <v>2</v>
      </c>
      <c r="C171" s="3">
        <v>4</v>
      </c>
      <c r="D171" s="2">
        <v>1.9E-3</v>
      </c>
      <c r="E171" s="2">
        <v>1</v>
      </c>
      <c r="F171" s="2">
        <v>0.97</v>
      </c>
    </row>
    <row r="172" spans="1:9" x14ac:dyDescent="0.35">
      <c r="A172" s="3" t="s">
        <v>110</v>
      </c>
      <c r="B172" s="3">
        <v>3</v>
      </c>
      <c r="C172" s="3">
        <v>4</v>
      </c>
      <c r="D172" s="2">
        <v>0.24060000000000001</v>
      </c>
      <c r="E172" s="2">
        <v>1</v>
      </c>
      <c r="F172" s="2">
        <v>0.62</v>
      </c>
    </row>
    <row r="174" spans="1:9" ht="17.5" x14ac:dyDescent="0.35">
      <c r="A174" s="1" t="s">
        <v>111</v>
      </c>
    </row>
    <row r="176" spans="1:9" x14ac:dyDescent="0.35">
      <c r="A176" s="2"/>
      <c r="B176" s="3" t="s">
        <v>42</v>
      </c>
      <c r="C176" s="3" t="s">
        <v>105</v>
      </c>
      <c r="D176" s="3" t="s">
        <v>43</v>
      </c>
      <c r="E176" s="3" t="s">
        <v>105</v>
      </c>
      <c r="F176" s="3" t="s">
        <v>44</v>
      </c>
      <c r="G176" s="3" t="s">
        <v>105</v>
      </c>
      <c r="H176" s="3" t="s">
        <v>45</v>
      </c>
      <c r="I176" s="3" t="s">
        <v>105</v>
      </c>
    </row>
    <row r="177" spans="1:9" x14ac:dyDescent="0.35">
      <c r="A177" s="3" t="s">
        <v>112</v>
      </c>
      <c r="B177" s="2">
        <v>0.65710000000000002</v>
      </c>
      <c r="C177" s="2">
        <v>1.8800000000000001E-2</v>
      </c>
      <c r="D177" s="2">
        <v>0.1661</v>
      </c>
      <c r="E177" s="2">
        <v>1.61E-2</v>
      </c>
      <c r="F177" s="2">
        <v>0.1603</v>
      </c>
      <c r="G177" s="2">
        <v>1.4E-2</v>
      </c>
      <c r="H177" s="2">
        <v>1.6500000000000001E-2</v>
      </c>
      <c r="I177" s="2">
        <v>4.4999999999999997E-3</v>
      </c>
    </row>
    <row r="178" spans="1:9" x14ac:dyDescent="0.35">
      <c r="A178" s="3" t="s">
        <v>107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35">
      <c r="A179" s="3" t="s">
        <v>146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35">
      <c r="A180" s="3">
        <v>0</v>
      </c>
      <c r="B180" s="2">
        <v>0.95099999999999996</v>
      </c>
      <c r="C180" s="2" t="s">
        <v>11</v>
      </c>
      <c r="D180" s="2">
        <v>0.9163</v>
      </c>
      <c r="E180" s="2" t="s">
        <v>11</v>
      </c>
      <c r="F180" s="2">
        <v>0.89319999999999999</v>
      </c>
      <c r="G180" s="2" t="s">
        <v>11</v>
      </c>
      <c r="H180" s="2">
        <v>0.91859999999999997</v>
      </c>
      <c r="I180" s="2" t="s">
        <v>11</v>
      </c>
    </row>
    <row r="181" spans="1:9" x14ac:dyDescent="0.35">
      <c r="A181" s="3">
        <v>100</v>
      </c>
      <c r="B181" s="2">
        <v>4.9000000000000002E-2</v>
      </c>
      <c r="C181" s="2" t="s">
        <v>11</v>
      </c>
      <c r="D181" s="2">
        <v>8.3699999999999997E-2</v>
      </c>
      <c r="E181" s="2" t="s">
        <v>11</v>
      </c>
      <c r="F181" s="2">
        <v>0.10680000000000001</v>
      </c>
      <c r="G181" s="2" t="s">
        <v>11</v>
      </c>
      <c r="H181" s="2">
        <v>8.14E-2</v>
      </c>
      <c r="I181" s="2" t="s">
        <v>11</v>
      </c>
    </row>
    <row r="183" spans="1:9" ht="17.5" x14ac:dyDescent="0.35">
      <c r="A183" s="1" t="s">
        <v>113</v>
      </c>
    </row>
    <row r="185" spans="1:9" x14ac:dyDescent="0.3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35">
      <c r="A186" s="3" t="s">
        <v>114</v>
      </c>
      <c r="B186" s="2">
        <v>0.65710000000000002</v>
      </c>
      <c r="C186" s="2">
        <v>0.1661</v>
      </c>
      <c r="D186" s="2">
        <v>0.1603</v>
      </c>
      <c r="E186" s="2">
        <v>1.6500000000000001E-2</v>
      </c>
    </row>
    <row r="187" spans="1:9" x14ac:dyDescent="0.35">
      <c r="A187" s="3" t="s">
        <v>107</v>
      </c>
      <c r="B187" s="2"/>
      <c r="C187" s="2"/>
      <c r="D187" s="2"/>
      <c r="E187" s="2"/>
    </row>
    <row r="188" spans="1:9" x14ac:dyDescent="0.35">
      <c r="A188" s="3" t="s">
        <v>146</v>
      </c>
      <c r="B188" s="2"/>
      <c r="C188" s="2"/>
      <c r="D188" s="2"/>
      <c r="E188" s="2"/>
    </row>
    <row r="189" spans="1:9" x14ac:dyDescent="0.35">
      <c r="A189" s="3">
        <v>0</v>
      </c>
      <c r="B189" s="2">
        <v>0.66800000000000004</v>
      </c>
      <c r="C189" s="2">
        <v>0.16270000000000001</v>
      </c>
      <c r="D189" s="2">
        <v>0.15310000000000001</v>
      </c>
      <c r="E189" s="2">
        <v>1.6199999999999999E-2</v>
      </c>
    </row>
    <row r="190" spans="1:9" x14ac:dyDescent="0.35">
      <c r="A190" s="3">
        <v>100</v>
      </c>
      <c r="B190" s="2">
        <v>0.49859999999999999</v>
      </c>
      <c r="C190" s="2">
        <v>0.21540000000000001</v>
      </c>
      <c r="D190" s="2">
        <v>0.26519999999999999</v>
      </c>
      <c r="E190" s="2">
        <v>2.0799999999999999E-2</v>
      </c>
    </row>
    <row r="192" spans="1:9" ht="17.5" x14ac:dyDescent="0.35">
      <c r="A192" s="1" t="s">
        <v>115</v>
      </c>
    </row>
    <row r="194" spans="1:9" x14ac:dyDescent="0.35">
      <c r="A194" s="2"/>
      <c r="B194" s="20" t="s">
        <v>110</v>
      </c>
      <c r="C194" s="21"/>
      <c r="D194" s="21"/>
      <c r="E194" s="21"/>
      <c r="F194" s="21"/>
      <c r="G194" s="21"/>
      <c r="H194" s="21"/>
      <c r="I194" s="22"/>
    </row>
    <row r="195" spans="1:9" x14ac:dyDescent="0.35">
      <c r="A195" s="3" t="s">
        <v>146</v>
      </c>
      <c r="B195" s="3">
        <v>1</v>
      </c>
      <c r="C195" s="3" t="s">
        <v>105</v>
      </c>
      <c r="D195" s="3">
        <v>2</v>
      </c>
      <c r="E195" s="3" t="s">
        <v>105</v>
      </c>
      <c r="F195" s="3">
        <v>3</v>
      </c>
      <c r="G195" s="3" t="s">
        <v>105</v>
      </c>
      <c r="H195" s="3">
        <v>4</v>
      </c>
      <c r="I195" s="3" t="s">
        <v>105</v>
      </c>
    </row>
    <row r="196" spans="1:9" x14ac:dyDescent="0.35">
      <c r="A196" s="3">
        <v>0</v>
      </c>
      <c r="B196" s="2">
        <v>0.66800000000000004</v>
      </c>
      <c r="C196" s="2">
        <v>1.9400000000000001E-2</v>
      </c>
      <c r="D196" s="2">
        <v>0.16270000000000001</v>
      </c>
      <c r="E196" s="2">
        <v>1.6400000000000001E-2</v>
      </c>
      <c r="F196" s="2">
        <v>0.15310000000000001</v>
      </c>
      <c r="G196" s="2">
        <v>1.44E-2</v>
      </c>
      <c r="H196" s="2">
        <v>1.6199999999999999E-2</v>
      </c>
      <c r="I196" s="2">
        <v>4.7000000000000002E-3</v>
      </c>
    </row>
    <row r="197" spans="1:9" x14ac:dyDescent="0.35">
      <c r="A197" s="3">
        <v>100</v>
      </c>
      <c r="B197" s="2">
        <v>0.49859999999999999</v>
      </c>
      <c r="C197" s="2">
        <v>7.4499999999999997E-2</v>
      </c>
      <c r="D197" s="2">
        <v>0.21540000000000001</v>
      </c>
      <c r="E197" s="2">
        <v>7.8100000000000003E-2</v>
      </c>
      <c r="F197" s="2">
        <v>0.26519999999999999</v>
      </c>
      <c r="G197" s="2">
        <v>6.08E-2</v>
      </c>
      <c r="H197" s="2">
        <v>2.0799999999999999E-2</v>
      </c>
      <c r="I197" s="2">
        <v>9.7000000000000003E-3</v>
      </c>
    </row>
    <row r="198" spans="1:9" x14ac:dyDescent="0.35">
      <c r="A198" s="23"/>
      <c r="B198" s="24"/>
      <c r="C198" s="24"/>
      <c r="D198" s="24"/>
      <c r="E198" s="24"/>
      <c r="F198" s="24"/>
      <c r="G198" s="24"/>
      <c r="H198" s="24"/>
      <c r="I198" s="25"/>
    </row>
    <row r="199" spans="1:9" x14ac:dyDescent="0.35">
      <c r="A199" s="2"/>
      <c r="B199" s="20" t="s">
        <v>116</v>
      </c>
      <c r="C199" s="21"/>
      <c r="D199" s="21"/>
      <c r="E199" s="21"/>
      <c r="F199" s="21"/>
      <c r="G199" s="21"/>
      <c r="H199" s="21"/>
      <c r="I199" s="22"/>
    </row>
    <row r="200" spans="1:9" x14ac:dyDescent="0.35">
      <c r="A200" s="3" t="s">
        <v>110</v>
      </c>
      <c r="B200" s="3" t="s">
        <v>88</v>
      </c>
      <c r="C200" s="3" t="s">
        <v>105</v>
      </c>
      <c r="D200" s="3" t="s">
        <v>90</v>
      </c>
      <c r="E200" s="3" t="s">
        <v>105</v>
      </c>
      <c r="F200" s="3" t="s">
        <v>91</v>
      </c>
      <c r="G200" s="3" t="s">
        <v>105</v>
      </c>
      <c r="H200" s="3" t="s">
        <v>92</v>
      </c>
      <c r="I200" s="3" t="s">
        <v>105</v>
      </c>
    </row>
    <row r="201" spans="1:9" x14ac:dyDescent="0.35">
      <c r="A201" s="3">
        <v>1</v>
      </c>
      <c r="B201" s="2">
        <v>0.95289999999999997</v>
      </c>
      <c r="C201" s="2" t="s">
        <v>11</v>
      </c>
      <c r="D201" s="2">
        <v>3.7100000000000001E-2</v>
      </c>
      <c r="E201" s="2" t="s">
        <v>11</v>
      </c>
      <c r="F201" s="2">
        <v>9.4999999999999998E-3</v>
      </c>
      <c r="G201" s="2" t="s">
        <v>11</v>
      </c>
      <c r="H201" s="2">
        <v>5.0000000000000001E-4</v>
      </c>
      <c r="I201" s="2" t="s">
        <v>11</v>
      </c>
    </row>
    <row r="202" spans="1:9" x14ac:dyDescent="0.35">
      <c r="A202" s="3">
        <v>2</v>
      </c>
      <c r="B202" s="2">
        <v>0.14680000000000001</v>
      </c>
      <c r="C202" s="2" t="s">
        <v>11</v>
      </c>
      <c r="D202" s="2">
        <v>0.80230000000000001</v>
      </c>
      <c r="E202" s="2" t="s">
        <v>11</v>
      </c>
      <c r="F202" s="2">
        <v>5.0700000000000002E-2</v>
      </c>
      <c r="G202" s="2" t="s">
        <v>11</v>
      </c>
      <c r="H202" s="2">
        <v>2.0000000000000001E-4</v>
      </c>
      <c r="I202" s="2" t="s">
        <v>11</v>
      </c>
    </row>
    <row r="203" spans="1:9" x14ac:dyDescent="0.35">
      <c r="A203" s="3">
        <v>3</v>
      </c>
      <c r="B203" s="2">
        <v>3.8800000000000001E-2</v>
      </c>
      <c r="C203" s="2" t="s">
        <v>11</v>
      </c>
      <c r="D203" s="2">
        <v>5.2499999999999998E-2</v>
      </c>
      <c r="E203" s="2" t="s">
        <v>11</v>
      </c>
      <c r="F203" s="2">
        <v>0.90569999999999995</v>
      </c>
      <c r="G203" s="2" t="s">
        <v>11</v>
      </c>
      <c r="H203" s="2">
        <v>3.0000000000000001E-3</v>
      </c>
      <c r="I203" s="2" t="s">
        <v>11</v>
      </c>
    </row>
    <row r="204" spans="1:9" x14ac:dyDescent="0.35">
      <c r="A204" s="3">
        <v>4</v>
      </c>
      <c r="B204" s="2">
        <v>1.9400000000000001E-2</v>
      </c>
      <c r="C204" s="2" t="s">
        <v>11</v>
      </c>
      <c r="D204" s="2">
        <v>2E-3</v>
      </c>
      <c r="E204" s="2" t="s">
        <v>11</v>
      </c>
      <c r="F204" s="2">
        <v>2.9399999999999999E-2</v>
      </c>
      <c r="G204" s="2" t="s">
        <v>11</v>
      </c>
      <c r="H204" s="2">
        <v>0.94920000000000004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P481"/>
  <sheetViews>
    <sheetView workbookViewId="0">
      <selection activeCell="A220" sqref="A220"/>
    </sheetView>
  </sheetViews>
  <sheetFormatPr defaultColWidth="36.26953125" defaultRowHeight="14.5" x14ac:dyDescent="0.35"/>
  <sheetData>
    <row r="1" spans="1:6" ht="17.5" x14ac:dyDescent="0.35">
      <c r="A1" s="1" t="s">
        <v>136</v>
      </c>
    </row>
    <row r="3" spans="1:6" x14ac:dyDescent="0.35">
      <c r="A3" s="20" t="s">
        <v>0</v>
      </c>
      <c r="B3" s="21"/>
      <c r="C3" s="21"/>
      <c r="D3" s="21"/>
      <c r="E3" s="21"/>
      <c r="F3" s="22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13400</v>
      </c>
      <c r="C5" s="2"/>
      <c r="D5" s="2"/>
      <c r="E5" s="2"/>
      <c r="F5" s="2"/>
    </row>
    <row r="6" spans="1:6" x14ac:dyDescent="0.35">
      <c r="A6" s="3" t="s">
        <v>2</v>
      </c>
      <c r="B6" s="2">
        <v>6</v>
      </c>
      <c r="C6" s="2"/>
      <c r="D6" s="2"/>
      <c r="E6" s="2"/>
      <c r="F6" s="2"/>
    </row>
    <row r="7" spans="1:6" x14ac:dyDescent="0.35">
      <c r="A7" s="3" t="s">
        <v>3</v>
      </c>
      <c r="B7" s="2">
        <v>16.5397</v>
      </c>
      <c r="C7" s="2"/>
      <c r="D7" s="2"/>
      <c r="E7" s="2"/>
      <c r="F7" s="2"/>
    </row>
    <row r="8" spans="1:6" x14ac:dyDescent="0.35">
      <c r="A8" s="3" t="s">
        <v>4</v>
      </c>
      <c r="B8" s="2">
        <v>16.5397</v>
      </c>
      <c r="C8" s="2"/>
      <c r="D8" s="2"/>
      <c r="E8" s="2"/>
      <c r="F8" s="2"/>
    </row>
    <row r="9" spans="1:6" x14ac:dyDescent="0.35">
      <c r="A9" s="3" t="s">
        <v>5</v>
      </c>
      <c r="B9" s="2">
        <v>450501</v>
      </c>
      <c r="C9" s="2"/>
      <c r="D9" s="2"/>
      <c r="E9" s="2"/>
      <c r="F9" s="2"/>
    </row>
    <row r="10" spans="1:6" x14ac:dyDescent="0.35">
      <c r="A10" s="3" t="s">
        <v>6</v>
      </c>
      <c r="B10" s="2">
        <v>450501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759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5168.3271999999997</v>
      </c>
      <c r="C14" s="4" t="s">
        <v>137</v>
      </c>
      <c r="D14" s="2"/>
      <c r="E14" s="2"/>
      <c r="F14" s="2"/>
    </row>
    <row r="15" spans="1:6" x14ac:dyDescent="0.35">
      <c r="A15" s="3" t="s">
        <v>12</v>
      </c>
      <c r="B15" s="2">
        <v>6840.9566000000004</v>
      </c>
      <c r="C15" s="4" t="s">
        <v>138</v>
      </c>
      <c r="D15" s="2"/>
      <c r="E15" s="2"/>
      <c r="F15" s="2"/>
    </row>
    <row r="16" spans="1:6" x14ac:dyDescent="0.35">
      <c r="A16" s="3" t="s">
        <v>13</v>
      </c>
      <c r="B16" s="2">
        <v>5742.2867999999999</v>
      </c>
      <c r="C16" s="4" t="s">
        <v>139</v>
      </c>
      <c r="D16" s="2"/>
      <c r="E16" s="2"/>
      <c r="F16" s="2"/>
    </row>
    <row r="17" spans="1:6" x14ac:dyDescent="0.35">
      <c r="A17" s="3" t="s">
        <v>14</v>
      </c>
      <c r="B17" s="2">
        <v>-2044.4574</v>
      </c>
      <c r="C17" s="2"/>
      <c r="D17" s="2"/>
      <c r="E17" s="2"/>
      <c r="F17" s="2"/>
    </row>
    <row r="18" spans="1:6" x14ac:dyDescent="0.35">
      <c r="A18" s="3" t="s">
        <v>15</v>
      </c>
      <c r="B18" s="2">
        <v>3650.3272000000002</v>
      </c>
      <c r="C18" s="2"/>
      <c r="D18" s="2"/>
      <c r="E18" s="2"/>
      <c r="F18" s="2"/>
    </row>
    <row r="19" spans="1:6" x14ac:dyDescent="0.35">
      <c r="A19" s="3" t="s">
        <v>16</v>
      </c>
      <c r="B19" s="2">
        <v>2891.3272000000002</v>
      </c>
      <c r="C19" s="2"/>
      <c r="D19" s="2"/>
      <c r="E19" s="2"/>
      <c r="F19" s="2"/>
    </row>
    <row r="20" spans="1:6" x14ac:dyDescent="0.35">
      <c r="A20" s="3" t="s">
        <v>17</v>
      </c>
      <c r="B20" s="2">
        <v>-2803.4573999999998</v>
      </c>
      <c r="C20" s="2"/>
      <c r="D20" s="2"/>
      <c r="E20" s="2"/>
      <c r="F20" s="2"/>
    </row>
    <row r="21" spans="1:6" x14ac:dyDescent="0.35">
      <c r="A21" s="3" t="s">
        <v>18</v>
      </c>
      <c r="B21" s="2">
        <v>367.57220000000001</v>
      </c>
      <c r="C21" s="2"/>
      <c r="D21" s="2"/>
      <c r="E21" s="2"/>
      <c r="F21" s="2"/>
    </row>
    <row r="22" spans="1:6" x14ac:dyDescent="0.35">
      <c r="A22" s="3" t="s">
        <v>19</v>
      </c>
      <c r="B22" s="2">
        <v>0.2072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-12481.413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-12481.413</v>
      </c>
      <c r="C27" s="2"/>
      <c r="D27" s="2"/>
      <c r="E27" s="2"/>
      <c r="F27" s="2"/>
    </row>
    <row r="28" spans="1:6" x14ac:dyDescent="0.35">
      <c r="A28" s="3" t="s">
        <v>24</v>
      </c>
      <c r="B28" s="2">
        <v>25019.844000000001</v>
      </c>
      <c r="C28" s="2"/>
      <c r="D28" s="2"/>
      <c r="E28" s="2"/>
      <c r="F28" s="2"/>
    </row>
    <row r="29" spans="1:6" x14ac:dyDescent="0.35">
      <c r="A29" s="3" t="s">
        <v>25</v>
      </c>
      <c r="B29" s="2">
        <v>24974.826000000001</v>
      </c>
      <c r="C29" s="2"/>
      <c r="D29" s="2"/>
      <c r="E29" s="2"/>
      <c r="F29" s="2"/>
    </row>
    <row r="30" spans="1:6" x14ac:dyDescent="0.35">
      <c r="A30" s="3" t="s">
        <v>26</v>
      </c>
      <c r="B30" s="2">
        <v>24980.826000000001</v>
      </c>
      <c r="C30" s="2"/>
      <c r="D30" s="2"/>
      <c r="E30" s="2"/>
      <c r="F30" s="2"/>
    </row>
    <row r="31" spans="1:6" x14ac:dyDescent="0.35">
      <c r="A31" s="3" t="s">
        <v>27</v>
      </c>
      <c r="B31" s="2">
        <v>25025.844000000001</v>
      </c>
      <c r="C31" s="2"/>
      <c r="D31" s="2"/>
      <c r="E31" s="2"/>
      <c r="F31" s="2"/>
    </row>
    <row r="32" spans="1:6" x14ac:dyDescent="0.35">
      <c r="A32" s="3" t="s">
        <v>28</v>
      </c>
      <c r="B32" s="2">
        <v>25000.776600000001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0.3427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5.1000000000000004E-3</v>
      </c>
      <c r="C38" s="2"/>
      <c r="D38" s="2"/>
      <c r="E38" s="2"/>
      <c r="F38" s="2"/>
    </row>
    <row r="39" spans="1:6" x14ac:dyDescent="0.35">
      <c r="A39" s="3" t="s">
        <v>33</v>
      </c>
      <c r="B39" s="2">
        <v>4.8999999999999998E-3</v>
      </c>
      <c r="C39" s="2"/>
      <c r="D39" s="2"/>
      <c r="E39" s="2"/>
      <c r="F39" s="2"/>
    </row>
    <row r="40" spans="1:6" x14ac:dyDescent="0.35">
      <c r="A40" s="3" t="s">
        <v>34</v>
      </c>
      <c r="B40" s="2">
        <v>-24943.338599999999</v>
      </c>
      <c r="C40" s="2"/>
      <c r="D40" s="2"/>
      <c r="E40" s="2"/>
      <c r="F40" s="2"/>
    </row>
    <row r="41" spans="1:6" x14ac:dyDescent="0.35">
      <c r="A41" s="3" t="s">
        <v>35</v>
      </c>
      <c r="B41" s="2">
        <v>12461.9256</v>
      </c>
      <c r="C41" s="2"/>
      <c r="D41" s="2"/>
      <c r="E41" s="2"/>
      <c r="F41" s="2"/>
    </row>
    <row r="42" spans="1:6" x14ac:dyDescent="0.35">
      <c r="A42" s="3" t="s">
        <v>36</v>
      </c>
      <c r="B42" s="2">
        <v>49886.677100000001</v>
      </c>
      <c r="C42" s="2"/>
      <c r="D42" s="2"/>
      <c r="E42" s="2"/>
      <c r="F42" s="2"/>
    </row>
    <row r="43" spans="1:6" x14ac:dyDescent="0.35">
      <c r="A43" s="3" t="s">
        <v>37</v>
      </c>
      <c r="B43" s="2">
        <v>50018.713300000003</v>
      </c>
      <c r="C43" s="2"/>
      <c r="D43" s="2"/>
      <c r="E43" s="2"/>
      <c r="F43" s="2"/>
    </row>
    <row r="44" spans="1:6" x14ac:dyDescent="0.35">
      <c r="A44" s="3" t="s">
        <v>38</v>
      </c>
      <c r="B44" s="2">
        <v>49943.695200000002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8808.3228999999992</v>
      </c>
      <c r="C48" s="2">
        <v>0</v>
      </c>
      <c r="D48" s="2">
        <v>0</v>
      </c>
      <c r="E48" s="2">
        <v>0</v>
      </c>
      <c r="F48" s="2">
        <v>8808.3228999999992</v>
      </c>
    </row>
    <row r="49" spans="1:6" x14ac:dyDescent="0.35">
      <c r="A49" s="3" t="s">
        <v>43</v>
      </c>
      <c r="B49" s="2">
        <v>2223.1257999999998</v>
      </c>
      <c r="C49" s="2">
        <v>0</v>
      </c>
      <c r="D49" s="2">
        <v>0</v>
      </c>
      <c r="E49" s="2">
        <v>0</v>
      </c>
      <c r="F49" s="2">
        <v>2223.1257999999998</v>
      </c>
    </row>
    <row r="50" spans="1:6" x14ac:dyDescent="0.35">
      <c r="A50" s="3" t="s">
        <v>44</v>
      </c>
      <c r="B50" s="2">
        <v>2148.4951999999998</v>
      </c>
      <c r="C50" s="2">
        <v>0</v>
      </c>
      <c r="D50" s="2">
        <v>0</v>
      </c>
      <c r="E50" s="2">
        <v>0</v>
      </c>
      <c r="F50" s="2">
        <v>2148.4951999999998</v>
      </c>
    </row>
    <row r="51" spans="1:6" x14ac:dyDescent="0.35">
      <c r="A51" s="3" t="s">
        <v>45</v>
      </c>
      <c r="B51" s="2">
        <v>220.05609999999999</v>
      </c>
      <c r="C51" s="2">
        <v>0</v>
      </c>
      <c r="D51" s="2">
        <v>0</v>
      </c>
      <c r="E51" s="2">
        <v>0</v>
      </c>
      <c r="F51" s="2">
        <v>220.05609999999999</v>
      </c>
    </row>
    <row r="52" spans="1:6" x14ac:dyDescent="0.35">
      <c r="A52" s="3" t="s">
        <v>46</v>
      </c>
      <c r="B52" s="2">
        <v>13400</v>
      </c>
      <c r="C52" s="2">
        <v>0</v>
      </c>
      <c r="D52" s="2">
        <v>0</v>
      </c>
      <c r="E52" s="2">
        <v>0</v>
      </c>
      <c r="F52" s="2">
        <v>13400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5810.6064999999999</v>
      </c>
      <c r="C56" s="2">
        <v>1450.6512</v>
      </c>
      <c r="D56" s="2">
        <v>1400.0232000000001</v>
      </c>
      <c r="E56" s="2">
        <v>147.042</v>
      </c>
      <c r="F56" s="2">
        <v>8808.3228999999992</v>
      </c>
    </row>
    <row r="57" spans="1:6" x14ac:dyDescent="0.35">
      <c r="A57" s="3" t="s">
        <v>43</v>
      </c>
      <c r="B57" s="2">
        <v>1450.6512</v>
      </c>
      <c r="C57" s="2">
        <v>374.39440000000002</v>
      </c>
      <c r="D57" s="2">
        <v>362.82530000000003</v>
      </c>
      <c r="E57" s="2">
        <v>35.254800000000003</v>
      </c>
      <c r="F57" s="2">
        <v>2223.1257999999998</v>
      </c>
    </row>
    <row r="58" spans="1:6" x14ac:dyDescent="0.35">
      <c r="A58" s="3" t="s">
        <v>44</v>
      </c>
      <c r="B58" s="2">
        <v>1400.0232000000001</v>
      </c>
      <c r="C58" s="2">
        <v>362.82530000000003</v>
      </c>
      <c r="D58" s="2">
        <v>351.79419999999999</v>
      </c>
      <c r="E58" s="2">
        <v>33.852499999999999</v>
      </c>
      <c r="F58" s="2">
        <v>2148.4951999999998</v>
      </c>
    </row>
    <row r="59" spans="1:6" x14ac:dyDescent="0.35">
      <c r="A59" s="3" t="s">
        <v>45</v>
      </c>
      <c r="B59" s="2">
        <v>147.042</v>
      </c>
      <c r="C59" s="2">
        <v>35.254800000000003</v>
      </c>
      <c r="D59" s="2">
        <v>33.852499999999999</v>
      </c>
      <c r="E59" s="2">
        <v>3.9068000000000001</v>
      </c>
      <c r="F59" s="2">
        <v>220.05609999999999</v>
      </c>
    </row>
    <row r="60" spans="1:6" x14ac:dyDescent="0.35">
      <c r="A60" s="3" t="s">
        <v>46</v>
      </c>
      <c r="B60" s="2">
        <v>8808.3228999999992</v>
      </c>
      <c r="C60" s="2">
        <v>2223.1257999999998</v>
      </c>
      <c r="D60" s="2">
        <v>2148.4951999999998</v>
      </c>
      <c r="E60" s="2">
        <v>220.05609999999999</v>
      </c>
      <c r="F60" s="2">
        <v>13400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0.3427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5.1000000000000004E-3</v>
      </c>
      <c r="C65" s="2"/>
      <c r="D65" s="2"/>
      <c r="E65" s="2"/>
      <c r="F65" s="2"/>
    </row>
    <row r="66" spans="1:6" x14ac:dyDescent="0.35">
      <c r="A66" s="3" t="s">
        <v>33</v>
      </c>
      <c r="B66" s="2">
        <v>4.8999999999999998E-3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23" t="s">
        <v>135</v>
      </c>
      <c r="C69" s="24"/>
      <c r="D69" s="24"/>
      <c r="E69" s="24"/>
      <c r="F69" s="25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52</v>
      </c>
      <c r="B71" s="2"/>
      <c r="C71" s="2"/>
      <c r="D71" s="2"/>
      <c r="E71" s="2"/>
      <c r="F71" s="2"/>
    </row>
    <row r="72" spans="1:6" x14ac:dyDescent="0.35">
      <c r="A72" s="3" t="s">
        <v>53</v>
      </c>
      <c r="B72" s="2">
        <v>4</v>
      </c>
      <c r="C72" s="2"/>
      <c r="D72" s="2"/>
      <c r="E72" s="2"/>
      <c r="F72" s="2"/>
    </row>
    <row r="73" spans="1:6" x14ac:dyDescent="0.35">
      <c r="A73" s="3" t="s">
        <v>54</v>
      </c>
      <c r="B73" s="2"/>
      <c r="C73" s="2"/>
      <c r="D73" s="2"/>
      <c r="E73" s="2"/>
      <c r="F73" s="2"/>
    </row>
    <row r="74" spans="1:6" x14ac:dyDescent="0.35">
      <c r="A74" s="3" t="s">
        <v>55</v>
      </c>
      <c r="B74" s="4">
        <v>1E-8</v>
      </c>
      <c r="C74" s="2"/>
      <c r="D74" s="2"/>
      <c r="E74" s="2"/>
      <c r="F74" s="2"/>
    </row>
    <row r="75" spans="1:6" x14ac:dyDescent="0.35">
      <c r="A75" s="3" t="s">
        <v>56</v>
      </c>
      <c r="B75" s="2">
        <v>0.01</v>
      </c>
      <c r="C75" s="2"/>
      <c r="D75" s="2"/>
      <c r="E75" s="2"/>
      <c r="F75" s="2"/>
    </row>
    <row r="76" spans="1:6" x14ac:dyDescent="0.35">
      <c r="A76" s="3" t="s">
        <v>57</v>
      </c>
      <c r="B76" s="2">
        <v>250</v>
      </c>
      <c r="C76" s="2"/>
      <c r="D76" s="2"/>
      <c r="E76" s="2"/>
      <c r="F76" s="2"/>
    </row>
    <row r="77" spans="1:6" x14ac:dyDescent="0.35">
      <c r="A77" s="3" t="s">
        <v>58</v>
      </c>
      <c r="B77" s="2">
        <v>50</v>
      </c>
      <c r="C77" s="2"/>
      <c r="D77" s="2"/>
      <c r="E77" s="2"/>
      <c r="F77" s="2"/>
    </row>
    <row r="78" spans="1:6" x14ac:dyDescent="0.35">
      <c r="A78" s="3" t="s">
        <v>59</v>
      </c>
      <c r="B78" s="2"/>
      <c r="C78" s="2"/>
      <c r="D78" s="2"/>
      <c r="E78" s="2"/>
      <c r="F78" s="2"/>
    </row>
    <row r="79" spans="1:6" x14ac:dyDescent="0.35">
      <c r="A79" s="3" t="s">
        <v>60</v>
      </c>
      <c r="B79" s="2">
        <v>450501</v>
      </c>
      <c r="C79" s="2"/>
      <c r="D79" s="2"/>
      <c r="E79" s="2"/>
      <c r="F79" s="2"/>
    </row>
    <row r="80" spans="1:6" x14ac:dyDescent="0.35">
      <c r="A80" s="3" t="s">
        <v>61</v>
      </c>
      <c r="B80" s="2">
        <v>0</v>
      </c>
      <c r="C80" s="2"/>
      <c r="D80" s="2"/>
      <c r="E80" s="2"/>
      <c r="F80" s="2"/>
    </row>
    <row r="81" spans="1:6" x14ac:dyDescent="0.3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62</v>
      </c>
      <c r="B82" s="2">
        <v>150</v>
      </c>
      <c r="C82" s="2"/>
      <c r="D82" s="2"/>
      <c r="E82" s="2"/>
      <c r="F82" s="2"/>
    </row>
    <row r="83" spans="1:6" x14ac:dyDescent="0.35">
      <c r="A83" s="3" t="s">
        <v>63</v>
      </c>
      <c r="B83" s="2"/>
      <c r="C83" s="2"/>
      <c r="D83" s="2"/>
      <c r="E83" s="2"/>
      <c r="F83" s="2"/>
    </row>
    <row r="84" spans="1:6" x14ac:dyDescent="0.35">
      <c r="A84" s="3" t="s">
        <v>64</v>
      </c>
      <c r="B84" s="2">
        <v>1</v>
      </c>
      <c r="C84" s="2"/>
      <c r="D84" s="2"/>
      <c r="E84" s="2"/>
      <c r="F84" s="2"/>
    </row>
    <row r="85" spans="1:6" x14ac:dyDescent="0.35">
      <c r="A85" s="3" t="s">
        <v>65</v>
      </c>
      <c r="B85" s="2">
        <v>1</v>
      </c>
      <c r="C85" s="2"/>
      <c r="D85" s="2"/>
      <c r="E85" s="2"/>
      <c r="F85" s="2"/>
    </row>
    <row r="86" spans="1:6" x14ac:dyDescent="0.35">
      <c r="A86" s="3" t="s">
        <v>66</v>
      </c>
      <c r="B86" s="2">
        <v>0</v>
      </c>
      <c r="C86" s="2"/>
      <c r="D86" s="2"/>
      <c r="E86" s="2"/>
      <c r="F86" s="2"/>
    </row>
    <row r="87" spans="1:6" x14ac:dyDescent="0.35">
      <c r="A87" s="3" t="s">
        <v>67</v>
      </c>
      <c r="B87" s="2">
        <v>1</v>
      </c>
      <c r="C87" s="2"/>
      <c r="D87" s="2"/>
      <c r="E87" s="2"/>
      <c r="F87" s="2"/>
    </row>
    <row r="88" spans="1:6" x14ac:dyDescent="0.35">
      <c r="A88" s="3" t="s">
        <v>68</v>
      </c>
      <c r="B88" s="2"/>
      <c r="C88" s="2"/>
      <c r="D88" s="2"/>
      <c r="E88" s="2"/>
      <c r="F88" s="2"/>
    </row>
    <row r="89" spans="1:6" x14ac:dyDescent="0.35">
      <c r="A89" s="3" t="s">
        <v>69</v>
      </c>
      <c r="B89" s="2">
        <v>10</v>
      </c>
      <c r="C89" s="2"/>
      <c r="D89" s="2"/>
      <c r="E89" s="2"/>
      <c r="F89" s="2"/>
    </row>
    <row r="90" spans="1:6" x14ac:dyDescent="0.3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35">
      <c r="A91" s="3" t="s">
        <v>72</v>
      </c>
      <c r="B91" s="2"/>
      <c r="C91" s="2"/>
      <c r="D91" s="2"/>
      <c r="E91" s="2"/>
      <c r="F91" s="2"/>
    </row>
    <row r="92" spans="1:6" x14ac:dyDescent="0.3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3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3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35">
      <c r="A95" s="3" t="s">
        <v>79</v>
      </c>
      <c r="B95" s="2"/>
      <c r="C95" s="2"/>
      <c r="D95" s="2"/>
      <c r="E95" s="2"/>
      <c r="F95" s="2"/>
    </row>
    <row r="96" spans="1:6" x14ac:dyDescent="0.3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3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35">
      <c r="A98" s="3" t="s">
        <v>84</v>
      </c>
      <c r="B98" s="2">
        <v>13400</v>
      </c>
      <c r="C98" s="2"/>
      <c r="D98" s="2"/>
      <c r="E98" s="2"/>
      <c r="F98" s="2"/>
    </row>
    <row r="99" spans="1:6" x14ac:dyDescent="0.3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86</v>
      </c>
      <c r="B101" s="2"/>
      <c r="C101" s="2"/>
      <c r="D101" s="2"/>
      <c r="E101" s="2"/>
      <c r="F101" s="2"/>
    </row>
    <row r="102" spans="1:6" x14ac:dyDescent="0.35">
      <c r="A102" s="3" t="s">
        <v>87</v>
      </c>
      <c r="B102" s="2"/>
      <c r="C102" s="2"/>
      <c r="D102" s="2"/>
      <c r="E102" s="2"/>
      <c r="F102" s="2"/>
    </row>
    <row r="103" spans="1:6" x14ac:dyDescent="0.35">
      <c r="A103" s="3" t="s">
        <v>88</v>
      </c>
      <c r="B103" s="2"/>
      <c r="C103" s="2">
        <v>711</v>
      </c>
      <c r="D103" s="2"/>
      <c r="E103" s="2"/>
      <c r="F103" s="2"/>
    </row>
    <row r="104" spans="1:6" x14ac:dyDescent="0.3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3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3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3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35">
      <c r="A108" s="3" t="s">
        <v>89</v>
      </c>
      <c r="B108" s="2"/>
      <c r="C108" s="2"/>
      <c r="D108" s="2"/>
      <c r="E108" s="2"/>
      <c r="F108" s="2"/>
    </row>
    <row r="109" spans="1:6" x14ac:dyDescent="0.3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3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3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35">
      <c r="A112" s="3" t="s">
        <v>90</v>
      </c>
      <c r="B112" s="2"/>
      <c r="C112" s="2">
        <v>711</v>
      </c>
      <c r="D112" s="2"/>
      <c r="E112" s="2"/>
      <c r="F112" s="2"/>
    </row>
    <row r="113" spans="1:6" x14ac:dyDescent="0.3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3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3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3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35">
      <c r="A117" s="3" t="s">
        <v>89</v>
      </c>
      <c r="B117" s="2"/>
      <c r="C117" s="2"/>
      <c r="D117" s="2"/>
      <c r="E117" s="2"/>
      <c r="F117" s="2"/>
    </row>
    <row r="118" spans="1:6" x14ac:dyDescent="0.3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3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35">
      <c r="A121" s="3" t="s">
        <v>91</v>
      </c>
      <c r="B121" s="2"/>
      <c r="C121" s="2">
        <v>711</v>
      </c>
      <c r="D121" s="2"/>
      <c r="E121" s="2"/>
      <c r="F121" s="2"/>
    </row>
    <row r="122" spans="1:6" x14ac:dyDescent="0.3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3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3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3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35">
      <c r="A126" s="3" t="s">
        <v>89</v>
      </c>
      <c r="B126" s="2"/>
      <c r="C126" s="2"/>
      <c r="D126" s="2"/>
      <c r="E126" s="2"/>
      <c r="F126" s="2"/>
    </row>
    <row r="127" spans="1:6" x14ac:dyDescent="0.3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3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3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35">
      <c r="A130" s="3" t="s">
        <v>92</v>
      </c>
      <c r="B130" s="2"/>
      <c r="C130" s="2">
        <v>711</v>
      </c>
      <c r="D130" s="2"/>
      <c r="E130" s="2"/>
      <c r="F130" s="2"/>
    </row>
    <row r="131" spans="1:6" x14ac:dyDescent="0.3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3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3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3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35">
      <c r="A135" s="3" t="s">
        <v>89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3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3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35">
      <c r="A139" s="3" t="s">
        <v>93</v>
      </c>
      <c r="B139" s="2"/>
      <c r="C139" s="2"/>
      <c r="D139" s="2"/>
      <c r="E139" s="2"/>
      <c r="F139" s="2"/>
    </row>
    <row r="140" spans="1:6" x14ac:dyDescent="0.35">
      <c r="A140" s="3" t="s">
        <v>140</v>
      </c>
      <c r="B140" s="2" t="s">
        <v>125</v>
      </c>
      <c r="C140" s="2">
        <v>255</v>
      </c>
      <c r="D140" s="2"/>
      <c r="E140" s="2"/>
      <c r="F140" s="2"/>
    </row>
    <row r="141" spans="1:6" x14ac:dyDescent="0.35">
      <c r="A141" s="3">
        <v>0</v>
      </c>
      <c r="B141" s="2">
        <v>0</v>
      </c>
      <c r="C141" s="2">
        <v>0</v>
      </c>
      <c r="D141" s="2"/>
      <c r="E141" s="2"/>
      <c r="F141" s="2"/>
    </row>
    <row r="142" spans="1:6" x14ac:dyDescent="0.35">
      <c r="A142" s="3">
        <v>0.04</v>
      </c>
      <c r="B142" s="2">
        <v>3.9999999000000001E-2</v>
      </c>
      <c r="C142" s="2">
        <v>3.9999999000000001E-2</v>
      </c>
      <c r="D142" s="2"/>
      <c r="E142" s="2"/>
      <c r="F142" s="2"/>
    </row>
    <row r="143" spans="1:6" x14ac:dyDescent="0.35">
      <c r="A143" s="3">
        <v>6.6600000000000006E-2</v>
      </c>
      <c r="B143" s="2">
        <v>6.6600002000000005E-2</v>
      </c>
      <c r="C143" s="2">
        <v>6.6600002000000005E-2</v>
      </c>
      <c r="D143" s="2"/>
      <c r="E143" s="2"/>
      <c r="F143" s="2"/>
    </row>
    <row r="144" spans="1:6" x14ac:dyDescent="0.35">
      <c r="A144" s="3">
        <v>0.08</v>
      </c>
      <c r="B144" s="2">
        <v>7.9999998000000003E-2</v>
      </c>
      <c r="C144" s="2">
        <v>7.9999998000000003E-2</v>
      </c>
      <c r="D144" s="2"/>
      <c r="E144" s="2"/>
      <c r="F144" s="2"/>
    </row>
    <row r="145" spans="1:6" x14ac:dyDescent="0.35">
      <c r="A145" s="3">
        <v>0.1066</v>
      </c>
      <c r="B145" s="2">
        <v>0.1066</v>
      </c>
      <c r="C145" s="2">
        <v>0.1066</v>
      </c>
      <c r="D145" s="2"/>
      <c r="E145" s="2"/>
      <c r="F145" s="2"/>
    </row>
    <row r="146" spans="1:6" x14ac:dyDescent="0.35">
      <c r="A146" s="3">
        <v>0.12</v>
      </c>
      <c r="B146" s="2">
        <v>0.12</v>
      </c>
      <c r="C146" s="2">
        <v>0.12</v>
      </c>
      <c r="D146" s="2"/>
      <c r="E146" s="2"/>
      <c r="F146" s="2"/>
    </row>
    <row r="147" spans="1:6" x14ac:dyDescent="0.35">
      <c r="A147" s="3">
        <v>0.13320000000000001</v>
      </c>
      <c r="B147" s="2">
        <v>0.13320000000000001</v>
      </c>
      <c r="C147" s="2">
        <v>0.13320000000000001</v>
      </c>
      <c r="D147" s="2"/>
      <c r="E147" s="2"/>
      <c r="F147" s="2"/>
    </row>
    <row r="148" spans="1:6" x14ac:dyDescent="0.35">
      <c r="A148" s="3">
        <v>0.13339999999999999</v>
      </c>
      <c r="B148" s="2">
        <v>0.13339999</v>
      </c>
      <c r="C148" s="2">
        <v>0.13339999</v>
      </c>
      <c r="D148" s="2"/>
      <c r="E148" s="2"/>
      <c r="F148" s="2"/>
    </row>
    <row r="149" spans="1:6" x14ac:dyDescent="0.35">
      <c r="A149" s="3">
        <v>0.14660000000000001</v>
      </c>
      <c r="B149" s="2">
        <v>0.14660001</v>
      </c>
      <c r="C149" s="2">
        <v>0.14660001</v>
      </c>
      <c r="D149" s="2"/>
      <c r="E149" s="2"/>
      <c r="F149" s="2"/>
    </row>
    <row r="150" spans="1:6" x14ac:dyDescent="0.35">
      <c r="A150" s="3">
        <v>0.16</v>
      </c>
      <c r="B150" s="2">
        <v>0.16</v>
      </c>
      <c r="C150" s="2">
        <v>0.16</v>
      </c>
      <c r="D150" s="2"/>
      <c r="E150" s="2"/>
      <c r="F150" s="2"/>
    </row>
    <row r="151" spans="1:6" x14ac:dyDescent="0.35">
      <c r="A151" s="3" t="s">
        <v>89</v>
      </c>
      <c r="B151" s="2"/>
      <c r="C151" s="2"/>
      <c r="D151" s="2"/>
      <c r="E151" s="2"/>
      <c r="F151" s="2"/>
    </row>
    <row r="152" spans="1:6" x14ac:dyDescent="0.35">
      <c r="A152" s="3">
        <v>0.88</v>
      </c>
      <c r="B152" s="2">
        <v>0.88</v>
      </c>
      <c r="C152" s="2">
        <v>0.88</v>
      </c>
      <c r="D152" s="2"/>
      <c r="E152" s="2"/>
      <c r="F152" s="2"/>
    </row>
    <row r="153" spans="1:6" x14ac:dyDescent="0.35">
      <c r="A153" s="3">
        <v>0.88339999999999996</v>
      </c>
      <c r="B153" s="2">
        <v>0.88340001999999995</v>
      </c>
      <c r="C153" s="2">
        <v>0.88340001999999995</v>
      </c>
      <c r="D153" s="2"/>
      <c r="E153" s="2"/>
      <c r="F153" s="2"/>
    </row>
    <row r="154" spans="1:6" x14ac:dyDescent="0.35">
      <c r="A154" s="3">
        <v>0.89339999999999997</v>
      </c>
      <c r="B154" s="2">
        <v>0.89340001000000002</v>
      </c>
      <c r="C154" s="2">
        <v>0.89340001000000002</v>
      </c>
      <c r="D154" s="2"/>
      <c r="E154" s="2"/>
      <c r="F154" s="2"/>
    </row>
    <row r="155" spans="1:6" x14ac:dyDescent="0.35">
      <c r="A155" s="3">
        <v>0.9</v>
      </c>
      <c r="B155" s="2">
        <v>0.89999998000000003</v>
      </c>
      <c r="C155" s="2">
        <v>0.89999998000000003</v>
      </c>
      <c r="D155" s="2"/>
      <c r="E155" s="2"/>
      <c r="F155" s="2"/>
    </row>
    <row r="156" spans="1:6" x14ac:dyDescent="0.35">
      <c r="A156" s="3">
        <v>0.91</v>
      </c>
      <c r="B156" s="2">
        <v>0.91000002999999996</v>
      </c>
      <c r="C156" s="2">
        <v>0.91000002999999996</v>
      </c>
      <c r="D156" s="2"/>
      <c r="E156" s="2"/>
      <c r="F156" s="2"/>
    </row>
    <row r="157" spans="1:6" x14ac:dyDescent="0.35">
      <c r="A157" s="3">
        <v>0.93340000000000001</v>
      </c>
      <c r="B157" s="2">
        <v>0.93339998000000002</v>
      </c>
      <c r="C157" s="2">
        <v>0.93339998000000002</v>
      </c>
      <c r="D157" s="2"/>
      <c r="E157" s="2"/>
      <c r="F157" s="2"/>
    </row>
    <row r="158" spans="1:6" x14ac:dyDescent="0.35">
      <c r="A158" s="3">
        <v>0.95</v>
      </c>
      <c r="B158" s="2">
        <v>0.94999999000000002</v>
      </c>
      <c r="C158" s="2">
        <v>0.94999999000000002</v>
      </c>
      <c r="D158" s="2"/>
      <c r="E158" s="2"/>
      <c r="F158" s="2"/>
    </row>
    <row r="159" spans="1:6" x14ac:dyDescent="0.35">
      <c r="A159" s="3">
        <v>0.96</v>
      </c>
      <c r="B159" s="2">
        <v>0.95999997999999997</v>
      </c>
      <c r="C159" s="2">
        <v>0.95999997999999997</v>
      </c>
      <c r="D159" s="2"/>
      <c r="E159" s="2"/>
      <c r="F159" s="2"/>
    </row>
    <row r="160" spans="1:6" x14ac:dyDescent="0.35">
      <c r="A160" s="3">
        <v>1</v>
      </c>
      <c r="B160" s="2">
        <v>1</v>
      </c>
      <c r="C160" s="2">
        <v>1</v>
      </c>
      <c r="D160" s="2"/>
      <c r="E160" s="2"/>
      <c r="F160" s="2"/>
    </row>
    <row r="162" spans="1:16" ht="17.5" x14ac:dyDescent="0.35">
      <c r="A162" s="1" t="s">
        <v>102</v>
      </c>
    </row>
    <row r="164" spans="1:16" x14ac:dyDescent="0.35">
      <c r="A164" s="3" t="s">
        <v>103</v>
      </c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35">
      <c r="A165" s="3" t="s">
        <v>104</v>
      </c>
      <c r="B165" s="3" t="s">
        <v>42</v>
      </c>
      <c r="C165" s="3" t="s">
        <v>105</v>
      </c>
      <c r="D165" s="3" t="s">
        <v>123</v>
      </c>
      <c r="E165" s="3" t="s">
        <v>43</v>
      </c>
      <c r="F165" s="3" t="s">
        <v>105</v>
      </c>
      <c r="G165" s="3" t="s">
        <v>123</v>
      </c>
      <c r="H165" s="3" t="s">
        <v>44</v>
      </c>
      <c r="I165" s="3" t="s">
        <v>105</v>
      </c>
      <c r="J165" s="3" t="s">
        <v>123</v>
      </c>
      <c r="K165" s="3" t="s">
        <v>45</v>
      </c>
      <c r="L165" s="3" t="s">
        <v>105</v>
      </c>
      <c r="M165" s="3" t="s">
        <v>123</v>
      </c>
      <c r="N165" s="3" t="s">
        <v>106</v>
      </c>
      <c r="O165" s="3" t="s">
        <v>9</v>
      </c>
      <c r="P165" s="2"/>
    </row>
    <row r="166" spans="1:16" x14ac:dyDescent="0.35">
      <c r="A166" s="3"/>
      <c r="B166" s="2">
        <v>1.7649999999999999</v>
      </c>
      <c r="C166" s="2">
        <v>0.31230000000000002</v>
      </c>
      <c r="D166" s="2">
        <v>5.6509</v>
      </c>
      <c r="E166" s="2">
        <v>-0.17549999999999999</v>
      </c>
      <c r="F166" s="2">
        <v>0.42980000000000002</v>
      </c>
      <c r="G166" s="2">
        <v>-0.40839999999999999</v>
      </c>
      <c r="H166" s="2">
        <v>-0.2838</v>
      </c>
      <c r="I166" s="2">
        <v>0.34460000000000002</v>
      </c>
      <c r="J166" s="2">
        <v>-0.8236</v>
      </c>
      <c r="K166" s="2">
        <v>-1.3057000000000001</v>
      </c>
      <c r="L166" s="2">
        <v>0.79800000000000004</v>
      </c>
      <c r="M166" s="2">
        <v>-1.6362000000000001</v>
      </c>
      <c r="N166" s="2">
        <v>63.5411</v>
      </c>
      <c r="O166" s="4">
        <v>1E-13</v>
      </c>
      <c r="P166" s="2"/>
    </row>
    <row r="167" spans="1:16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35">
      <c r="A168" s="3" t="s">
        <v>107</v>
      </c>
      <c r="B168" s="3" t="s">
        <v>42</v>
      </c>
      <c r="C168" s="3" t="s">
        <v>105</v>
      </c>
      <c r="D168" s="3" t="s">
        <v>123</v>
      </c>
      <c r="E168" s="3" t="s">
        <v>43</v>
      </c>
      <c r="F168" s="3" t="s">
        <v>105</v>
      </c>
      <c r="G168" s="3" t="s">
        <v>123</v>
      </c>
      <c r="H168" s="3" t="s">
        <v>44</v>
      </c>
      <c r="I168" s="3" t="s">
        <v>105</v>
      </c>
      <c r="J168" s="3" t="s">
        <v>123</v>
      </c>
      <c r="K168" s="3" t="s">
        <v>45</v>
      </c>
      <c r="L168" s="3" t="s">
        <v>105</v>
      </c>
      <c r="M168" s="3" t="s">
        <v>123</v>
      </c>
      <c r="N168" s="3" t="s">
        <v>106</v>
      </c>
      <c r="O168" s="3" t="s">
        <v>9</v>
      </c>
      <c r="P168" s="2"/>
    </row>
    <row r="169" spans="1:16" x14ac:dyDescent="0.35">
      <c r="A169" s="3" t="s">
        <v>140</v>
      </c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35">
      <c r="A170" s="2"/>
      <c r="B170" s="2">
        <v>-0.25209999999999999</v>
      </c>
      <c r="C170" s="2">
        <v>0.5837</v>
      </c>
      <c r="D170" s="2">
        <v>-0.43180000000000002</v>
      </c>
      <c r="E170" s="2">
        <v>0.80779999999999996</v>
      </c>
      <c r="F170" s="2">
        <v>0.77810000000000001</v>
      </c>
      <c r="G170" s="2">
        <v>1.0382</v>
      </c>
      <c r="H170" s="2">
        <v>0.94269999999999998</v>
      </c>
      <c r="I170" s="2">
        <v>0.63470000000000004</v>
      </c>
      <c r="J170" s="2">
        <v>1.4853000000000001</v>
      </c>
      <c r="K170" s="2">
        <v>-1.4984999999999999</v>
      </c>
      <c r="L170" s="2">
        <v>1.5192000000000001</v>
      </c>
      <c r="M170" s="2">
        <v>-0.98629999999999995</v>
      </c>
      <c r="N170" s="2">
        <v>6.8201999999999998</v>
      </c>
      <c r="O170" s="2">
        <v>7.8E-2</v>
      </c>
      <c r="P170" s="2"/>
    </row>
    <row r="171" spans="1:16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3" spans="1:16" ht="17.5" x14ac:dyDescent="0.35">
      <c r="A173" s="1" t="s">
        <v>108</v>
      </c>
    </row>
    <row r="175" spans="1:16" x14ac:dyDescent="0.35">
      <c r="A175" s="3" t="s">
        <v>103</v>
      </c>
      <c r="B175" s="3"/>
      <c r="C175" s="3"/>
      <c r="D175" s="3" t="s">
        <v>106</v>
      </c>
      <c r="E175" s="3" t="s">
        <v>109</v>
      </c>
      <c r="F175" s="3" t="s">
        <v>9</v>
      </c>
    </row>
    <row r="176" spans="1:16" x14ac:dyDescent="0.35">
      <c r="A176" s="3" t="s">
        <v>104</v>
      </c>
      <c r="B176" s="2"/>
      <c r="C176" s="2"/>
      <c r="D176" s="2"/>
      <c r="E176" s="2"/>
      <c r="F176" s="2"/>
    </row>
    <row r="177" spans="1:6" x14ac:dyDescent="0.35">
      <c r="A177" s="3" t="s">
        <v>110</v>
      </c>
      <c r="B177" s="3">
        <v>1</v>
      </c>
      <c r="C177" s="3">
        <v>2</v>
      </c>
      <c r="D177" s="2">
        <v>16.848700000000001</v>
      </c>
      <c r="E177" s="2">
        <v>1</v>
      </c>
      <c r="F177" s="4">
        <v>4.1E-5</v>
      </c>
    </row>
    <row r="178" spans="1:6" x14ac:dyDescent="0.35">
      <c r="A178" s="3" t="s">
        <v>110</v>
      </c>
      <c r="B178" s="3">
        <v>1</v>
      </c>
      <c r="C178" s="3">
        <v>3</v>
      </c>
      <c r="D178" s="2">
        <v>49.543700000000001</v>
      </c>
      <c r="E178" s="2">
        <v>1</v>
      </c>
      <c r="F178" s="4">
        <v>1.9E-12</v>
      </c>
    </row>
    <row r="179" spans="1:6" x14ac:dyDescent="0.35">
      <c r="A179" s="3" t="s">
        <v>110</v>
      </c>
      <c r="B179" s="3">
        <v>1</v>
      </c>
      <c r="C179" s="3">
        <v>4</v>
      </c>
      <c r="D179" s="2">
        <v>8.4205000000000005</v>
      </c>
      <c r="E179" s="2">
        <v>1</v>
      </c>
      <c r="F179" s="2">
        <v>3.7000000000000002E-3</v>
      </c>
    </row>
    <row r="180" spans="1:6" x14ac:dyDescent="0.35">
      <c r="A180" s="3" t="s">
        <v>110</v>
      </c>
      <c r="B180" s="3">
        <v>2</v>
      </c>
      <c r="C180" s="3">
        <v>3</v>
      </c>
      <c r="D180" s="2">
        <v>4.5499999999999999E-2</v>
      </c>
      <c r="E180" s="2">
        <v>1</v>
      </c>
      <c r="F180" s="2">
        <v>0.83</v>
      </c>
    </row>
    <row r="181" spans="1:6" x14ac:dyDescent="0.35">
      <c r="A181" s="3" t="s">
        <v>110</v>
      </c>
      <c r="B181" s="3">
        <v>2</v>
      </c>
      <c r="C181" s="3">
        <v>4</v>
      </c>
      <c r="D181" s="2">
        <v>0.98629999999999995</v>
      </c>
      <c r="E181" s="2">
        <v>1</v>
      </c>
      <c r="F181" s="2">
        <v>0.32</v>
      </c>
    </row>
    <row r="182" spans="1:6" x14ac:dyDescent="0.35">
      <c r="A182" s="3" t="s">
        <v>110</v>
      </c>
      <c r="B182" s="3">
        <v>3</v>
      </c>
      <c r="C182" s="3">
        <v>4</v>
      </c>
      <c r="D182" s="2">
        <v>0.89249999999999996</v>
      </c>
      <c r="E182" s="2">
        <v>1</v>
      </c>
      <c r="F182" s="2">
        <v>0.34</v>
      </c>
    </row>
    <row r="183" spans="1:6" x14ac:dyDescent="0.35">
      <c r="A183" s="3" t="s">
        <v>140</v>
      </c>
      <c r="B183" s="2"/>
      <c r="C183" s="2"/>
      <c r="D183" s="2"/>
      <c r="E183" s="2"/>
      <c r="F183" s="2"/>
    </row>
    <row r="184" spans="1:6" x14ac:dyDescent="0.35">
      <c r="A184" s="3" t="s">
        <v>110</v>
      </c>
      <c r="B184" s="3">
        <v>1</v>
      </c>
      <c r="C184" s="3">
        <v>2</v>
      </c>
      <c r="D184" s="2">
        <v>1.6043000000000001</v>
      </c>
      <c r="E184" s="2">
        <v>1</v>
      </c>
      <c r="F184" s="2">
        <v>0.21</v>
      </c>
    </row>
    <row r="185" spans="1:6" x14ac:dyDescent="0.35">
      <c r="A185" s="3" t="s">
        <v>110</v>
      </c>
      <c r="B185" s="3">
        <v>1</v>
      </c>
      <c r="C185" s="3">
        <v>3</v>
      </c>
      <c r="D185" s="2">
        <v>5.5976999999999997</v>
      </c>
      <c r="E185" s="2">
        <v>1</v>
      </c>
      <c r="F185" s="2">
        <v>1.7999999999999999E-2</v>
      </c>
    </row>
    <row r="186" spans="1:6" x14ac:dyDescent="0.35">
      <c r="A186" s="3" t="s">
        <v>110</v>
      </c>
      <c r="B186" s="3">
        <v>1</v>
      </c>
      <c r="C186" s="3">
        <v>4</v>
      </c>
      <c r="D186" s="2">
        <v>0.38219999999999998</v>
      </c>
      <c r="E186" s="2">
        <v>1</v>
      </c>
      <c r="F186" s="2">
        <v>0.54</v>
      </c>
    </row>
    <row r="187" spans="1:6" x14ac:dyDescent="0.35">
      <c r="A187" s="3" t="s">
        <v>110</v>
      </c>
      <c r="B187" s="3">
        <v>2</v>
      </c>
      <c r="C187" s="3">
        <v>3</v>
      </c>
      <c r="D187" s="2">
        <v>2.3199999999999998E-2</v>
      </c>
      <c r="E187" s="2">
        <v>1</v>
      </c>
      <c r="F187" s="2">
        <v>0.88</v>
      </c>
    </row>
    <row r="188" spans="1:6" x14ac:dyDescent="0.35">
      <c r="A188" s="3" t="s">
        <v>110</v>
      </c>
      <c r="B188" s="3">
        <v>2</v>
      </c>
      <c r="C188" s="3">
        <v>4</v>
      </c>
      <c r="D188" s="2">
        <v>1.1576</v>
      </c>
      <c r="E188" s="2">
        <v>1</v>
      </c>
      <c r="F188" s="2">
        <v>0.28000000000000003</v>
      </c>
    </row>
    <row r="189" spans="1:6" x14ac:dyDescent="0.35">
      <c r="A189" s="3" t="s">
        <v>110</v>
      </c>
      <c r="B189" s="3">
        <v>3</v>
      </c>
      <c r="C189" s="3">
        <v>4</v>
      </c>
      <c r="D189" s="2">
        <v>1.409</v>
      </c>
      <c r="E189" s="2">
        <v>1</v>
      </c>
      <c r="F189" s="2">
        <v>0.24</v>
      </c>
    </row>
    <row r="191" spans="1:6" ht="17.5" x14ac:dyDescent="0.35">
      <c r="A191" s="1" t="s">
        <v>111</v>
      </c>
    </row>
    <row r="193" spans="1:9" x14ac:dyDescent="0.35">
      <c r="A193" s="2"/>
      <c r="B193" s="3" t="s">
        <v>42</v>
      </c>
      <c r="C193" s="3" t="s">
        <v>105</v>
      </c>
      <c r="D193" s="3" t="s">
        <v>43</v>
      </c>
      <c r="E193" s="3" t="s">
        <v>105</v>
      </c>
      <c r="F193" s="3" t="s">
        <v>44</v>
      </c>
      <c r="G193" s="3" t="s">
        <v>105</v>
      </c>
      <c r="H193" s="3" t="s">
        <v>45</v>
      </c>
      <c r="I193" s="3" t="s">
        <v>105</v>
      </c>
    </row>
    <row r="194" spans="1:9" x14ac:dyDescent="0.35">
      <c r="A194" s="3" t="s">
        <v>112</v>
      </c>
      <c r="B194" s="2">
        <v>0.6573</v>
      </c>
      <c r="C194" s="2">
        <v>1.89E-2</v>
      </c>
      <c r="D194" s="2">
        <v>0.16589999999999999</v>
      </c>
      <c r="E194" s="2">
        <v>1.61E-2</v>
      </c>
      <c r="F194" s="2">
        <v>0.1603</v>
      </c>
      <c r="G194" s="2">
        <v>1.4E-2</v>
      </c>
      <c r="H194" s="2">
        <v>1.6400000000000001E-2</v>
      </c>
      <c r="I194" s="2">
        <v>4.4000000000000003E-3</v>
      </c>
    </row>
    <row r="195" spans="1:9" x14ac:dyDescent="0.35">
      <c r="A195" s="3" t="s">
        <v>107</v>
      </c>
      <c r="B195" s="2"/>
      <c r="C195" s="2"/>
      <c r="D195" s="2"/>
      <c r="E195" s="2"/>
      <c r="F195" s="2"/>
      <c r="G195" s="2"/>
      <c r="H195" s="2"/>
      <c r="I195" s="2"/>
    </row>
    <row r="196" spans="1:9" x14ac:dyDescent="0.35">
      <c r="A196" s="3" t="s">
        <v>140</v>
      </c>
      <c r="B196" s="2"/>
      <c r="C196" s="2"/>
      <c r="D196" s="2"/>
      <c r="E196" s="2"/>
      <c r="F196" s="2"/>
      <c r="G196" s="2"/>
      <c r="H196" s="2"/>
      <c r="I196" s="2"/>
    </row>
    <row r="197" spans="1:9" x14ac:dyDescent="0.35">
      <c r="A197" s="10">
        <v>21186</v>
      </c>
      <c r="B197" s="2">
        <v>0.21940000000000001</v>
      </c>
      <c r="C197" s="2" t="s">
        <v>11</v>
      </c>
      <c r="D197" s="2">
        <v>0.16769999999999999</v>
      </c>
      <c r="E197" s="2" t="s">
        <v>11</v>
      </c>
      <c r="F197" s="2">
        <v>0.1618</v>
      </c>
      <c r="G197" s="2" t="s">
        <v>11</v>
      </c>
      <c r="H197" s="2">
        <v>0.29099999999999998</v>
      </c>
      <c r="I197" s="2" t="s">
        <v>11</v>
      </c>
    </row>
    <row r="198" spans="1:9" x14ac:dyDescent="0.35">
      <c r="A198" s="3" t="s">
        <v>141</v>
      </c>
      <c r="B198" s="2">
        <v>0.21460000000000001</v>
      </c>
      <c r="C198" s="2" t="s">
        <v>11</v>
      </c>
      <c r="D198" s="2">
        <v>0.19409999999999999</v>
      </c>
      <c r="E198" s="2" t="s">
        <v>11</v>
      </c>
      <c r="F198" s="2">
        <v>0.19120000000000001</v>
      </c>
      <c r="G198" s="2" t="s">
        <v>11</v>
      </c>
      <c r="H198" s="2">
        <v>0.23130000000000001</v>
      </c>
      <c r="I198" s="2" t="s">
        <v>11</v>
      </c>
    </row>
    <row r="199" spans="1:9" x14ac:dyDescent="0.35">
      <c r="A199" s="3" t="s">
        <v>142</v>
      </c>
      <c r="B199" s="2">
        <v>0.19819999999999999</v>
      </c>
      <c r="C199" s="2" t="s">
        <v>11</v>
      </c>
      <c r="D199" s="2">
        <v>0.19850000000000001</v>
      </c>
      <c r="E199" s="2" t="s">
        <v>11</v>
      </c>
      <c r="F199" s="2">
        <v>0.19800000000000001</v>
      </c>
      <c r="G199" s="2" t="s">
        <v>11</v>
      </c>
      <c r="H199" s="2">
        <v>0.18959999999999999</v>
      </c>
      <c r="I199" s="2" t="s">
        <v>11</v>
      </c>
    </row>
    <row r="200" spans="1:9" x14ac:dyDescent="0.35">
      <c r="A200" s="3" t="s">
        <v>143</v>
      </c>
      <c r="B200" s="2">
        <v>0.19289999999999999</v>
      </c>
      <c r="C200" s="2" t="s">
        <v>11</v>
      </c>
      <c r="D200" s="2">
        <v>0.21510000000000001</v>
      </c>
      <c r="E200" s="2" t="s">
        <v>11</v>
      </c>
      <c r="F200" s="2">
        <v>0.21759999999999999</v>
      </c>
      <c r="G200" s="2" t="s">
        <v>11</v>
      </c>
      <c r="H200" s="2">
        <v>0.16259999999999999</v>
      </c>
      <c r="I200" s="2" t="s">
        <v>11</v>
      </c>
    </row>
    <row r="201" spans="1:9" x14ac:dyDescent="0.35">
      <c r="A201" s="3" t="s">
        <v>144</v>
      </c>
      <c r="B201" s="2">
        <v>0.17499999999999999</v>
      </c>
      <c r="C201" s="2" t="s">
        <v>11</v>
      </c>
      <c r="D201" s="2">
        <v>0.22459999999999999</v>
      </c>
      <c r="E201" s="2" t="s">
        <v>11</v>
      </c>
      <c r="F201" s="2">
        <v>0.23139999999999999</v>
      </c>
      <c r="G201" s="2" t="s">
        <v>11</v>
      </c>
      <c r="H201" s="2">
        <v>0.1255</v>
      </c>
      <c r="I201" s="2" t="s">
        <v>11</v>
      </c>
    </row>
    <row r="202" spans="1:9" x14ac:dyDescent="0.35">
      <c r="A202" s="3" t="s">
        <v>126</v>
      </c>
      <c r="B202" s="2">
        <v>0.51580000000000004</v>
      </c>
      <c r="C202" s="2" t="s">
        <v>11</v>
      </c>
      <c r="D202" s="2">
        <v>0.54759999999999998</v>
      </c>
      <c r="E202" s="2" t="s">
        <v>11</v>
      </c>
      <c r="F202" s="2">
        <v>0.55159999999999998</v>
      </c>
      <c r="G202" s="2" t="s">
        <v>11</v>
      </c>
      <c r="H202" s="2">
        <v>0.47720000000000001</v>
      </c>
      <c r="I202" s="2" t="s">
        <v>11</v>
      </c>
    </row>
    <row r="204" spans="1:9" ht="17.5" x14ac:dyDescent="0.35">
      <c r="A204" s="1" t="s">
        <v>113</v>
      </c>
    </row>
    <row r="206" spans="1:9" x14ac:dyDescent="0.35">
      <c r="A206" s="2"/>
      <c r="B206" s="3" t="s">
        <v>42</v>
      </c>
      <c r="C206" s="3" t="s">
        <v>43</v>
      </c>
      <c r="D206" s="3" t="s">
        <v>44</v>
      </c>
      <c r="E206" s="3" t="s">
        <v>45</v>
      </c>
    </row>
    <row r="207" spans="1:9" x14ac:dyDescent="0.35">
      <c r="A207" s="3" t="s">
        <v>114</v>
      </c>
      <c r="B207" s="2">
        <v>0.6573</v>
      </c>
      <c r="C207" s="2">
        <v>0.16589999999999999</v>
      </c>
      <c r="D207" s="2">
        <v>0.1603</v>
      </c>
      <c r="E207" s="2">
        <v>1.6400000000000001E-2</v>
      </c>
    </row>
    <row r="208" spans="1:9" x14ac:dyDescent="0.35">
      <c r="A208" s="3" t="s">
        <v>107</v>
      </c>
      <c r="B208" s="2"/>
      <c r="C208" s="2"/>
      <c r="D208" s="2"/>
      <c r="E208" s="2"/>
    </row>
    <row r="209" spans="1:9" x14ac:dyDescent="0.35">
      <c r="A209" s="3" t="s">
        <v>140</v>
      </c>
      <c r="B209" s="2"/>
      <c r="C209" s="2"/>
      <c r="D209" s="2"/>
      <c r="E209" s="2"/>
    </row>
    <row r="210" spans="1:9" x14ac:dyDescent="0.35">
      <c r="A210" s="10">
        <v>21186</v>
      </c>
      <c r="B210" s="2">
        <v>0.71130000000000004</v>
      </c>
      <c r="C210" s="2">
        <v>0.13719999999999999</v>
      </c>
      <c r="D210" s="2">
        <v>0.12790000000000001</v>
      </c>
      <c r="E210" s="2">
        <v>2.3599999999999999E-2</v>
      </c>
    </row>
    <row r="211" spans="1:9" x14ac:dyDescent="0.35">
      <c r="A211" s="3" t="s">
        <v>141</v>
      </c>
      <c r="B211" s="2">
        <v>0.67920000000000003</v>
      </c>
      <c r="C211" s="2">
        <v>0.155</v>
      </c>
      <c r="D211" s="2">
        <v>0.14749999999999999</v>
      </c>
      <c r="E211" s="2">
        <v>1.83E-2</v>
      </c>
    </row>
    <row r="212" spans="1:9" x14ac:dyDescent="0.35">
      <c r="A212" s="3" t="s">
        <v>142</v>
      </c>
      <c r="B212" s="2">
        <v>0.65769999999999995</v>
      </c>
      <c r="C212" s="2">
        <v>0.16619999999999999</v>
      </c>
      <c r="D212" s="2">
        <v>0.1603</v>
      </c>
      <c r="E212" s="2">
        <v>1.5699999999999999E-2</v>
      </c>
    </row>
    <row r="213" spans="1:9" x14ac:dyDescent="0.35">
      <c r="A213" s="3" t="s">
        <v>143</v>
      </c>
      <c r="B213" s="2">
        <v>0.63380000000000003</v>
      </c>
      <c r="C213" s="2">
        <v>0.1784</v>
      </c>
      <c r="D213" s="2">
        <v>0.1744</v>
      </c>
      <c r="E213" s="2">
        <v>1.3299999999999999E-2</v>
      </c>
    </row>
    <row r="214" spans="1:9" x14ac:dyDescent="0.35">
      <c r="A214" s="3" t="s">
        <v>144</v>
      </c>
      <c r="B214" s="2">
        <v>0.60029999999999994</v>
      </c>
      <c r="C214" s="2">
        <v>0.19489999999999999</v>
      </c>
      <c r="D214" s="2">
        <v>0.19409999999999999</v>
      </c>
      <c r="E214" s="2">
        <v>1.0699999999999999E-2</v>
      </c>
    </row>
    <row r="216" spans="1:9" ht="17.5" x14ac:dyDescent="0.35">
      <c r="A216" s="1" t="s">
        <v>115</v>
      </c>
    </row>
    <row r="218" spans="1:9" x14ac:dyDescent="0.35">
      <c r="A218" s="2"/>
      <c r="B218" s="20" t="s">
        <v>110</v>
      </c>
      <c r="C218" s="21"/>
      <c r="D218" s="21"/>
      <c r="E218" s="21"/>
      <c r="F218" s="21"/>
      <c r="G218" s="21"/>
      <c r="H218" s="21"/>
      <c r="I218" s="22"/>
    </row>
    <row r="219" spans="1:9" x14ac:dyDescent="0.35">
      <c r="A219" s="3" t="s">
        <v>140</v>
      </c>
      <c r="B219" s="3">
        <v>1</v>
      </c>
      <c r="C219" s="3" t="s">
        <v>105</v>
      </c>
      <c r="D219" s="3">
        <v>2</v>
      </c>
      <c r="E219" s="3" t="s">
        <v>105</v>
      </c>
      <c r="F219" s="3">
        <v>3</v>
      </c>
      <c r="G219" s="3" t="s">
        <v>105</v>
      </c>
      <c r="H219" s="3">
        <v>4</v>
      </c>
      <c r="I219" s="3" t="s">
        <v>105</v>
      </c>
    </row>
    <row r="220" spans="1:9" x14ac:dyDescent="0.35">
      <c r="A220" s="3">
        <v>0</v>
      </c>
      <c r="B220" s="2">
        <v>0.75819999999999999</v>
      </c>
      <c r="C220" s="2">
        <v>5.7200000000000001E-2</v>
      </c>
      <c r="D220" s="2">
        <v>0.1089</v>
      </c>
      <c r="E220" s="2">
        <v>4.5400000000000003E-2</v>
      </c>
      <c r="F220" s="2">
        <v>9.7699999999999995E-2</v>
      </c>
      <c r="G220" s="2">
        <v>2.53E-2</v>
      </c>
      <c r="H220" s="2">
        <v>3.5200000000000002E-2</v>
      </c>
      <c r="I220" s="2">
        <v>3.5799999999999998E-2</v>
      </c>
    </row>
    <row r="221" spans="1:9" x14ac:dyDescent="0.35">
      <c r="A221" s="3">
        <v>0.04</v>
      </c>
      <c r="B221" s="2">
        <v>0.75229999999999997</v>
      </c>
      <c r="C221" s="2">
        <v>5.3499999999999999E-2</v>
      </c>
      <c r="D221" s="2">
        <v>0.11269999999999999</v>
      </c>
      <c r="E221" s="2">
        <v>4.36E-2</v>
      </c>
      <c r="F221" s="2">
        <v>0.1017</v>
      </c>
      <c r="G221" s="2">
        <v>2.4500000000000001E-2</v>
      </c>
      <c r="H221" s="2">
        <v>3.32E-2</v>
      </c>
      <c r="I221" s="2">
        <v>3.1399999999999997E-2</v>
      </c>
    </row>
    <row r="222" spans="1:9" x14ac:dyDescent="0.35">
      <c r="A222" s="3">
        <v>6.6600000000000006E-2</v>
      </c>
      <c r="B222" s="2">
        <v>0.74829999999999997</v>
      </c>
      <c r="C222" s="2">
        <v>5.11E-2</v>
      </c>
      <c r="D222" s="2">
        <v>0.1153</v>
      </c>
      <c r="E222" s="2">
        <v>4.2299999999999997E-2</v>
      </c>
      <c r="F222" s="2">
        <v>0.10440000000000001</v>
      </c>
      <c r="G222" s="2">
        <v>2.4E-2</v>
      </c>
      <c r="H222" s="2">
        <v>3.1899999999999998E-2</v>
      </c>
      <c r="I222" s="2">
        <v>2.87E-2</v>
      </c>
    </row>
    <row r="223" spans="1:9" x14ac:dyDescent="0.35">
      <c r="A223" s="3">
        <v>0.08</v>
      </c>
      <c r="B223" s="2">
        <v>0.74619999999999997</v>
      </c>
      <c r="C223" s="2">
        <v>4.99E-2</v>
      </c>
      <c r="D223" s="2">
        <v>0.1167</v>
      </c>
      <c r="E223" s="2">
        <v>4.1599999999999998E-2</v>
      </c>
      <c r="F223" s="2">
        <v>0.10580000000000001</v>
      </c>
      <c r="G223" s="2">
        <v>2.3699999999999999E-2</v>
      </c>
      <c r="H223" s="2">
        <v>3.1300000000000001E-2</v>
      </c>
      <c r="I223" s="2">
        <v>2.7400000000000001E-2</v>
      </c>
    </row>
    <row r="224" spans="1:9" x14ac:dyDescent="0.35">
      <c r="A224" s="3">
        <v>0.1066</v>
      </c>
      <c r="B224" s="2">
        <v>0.7419</v>
      </c>
      <c r="C224" s="2">
        <v>4.7500000000000001E-2</v>
      </c>
      <c r="D224" s="2">
        <v>0.1193</v>
      </c>
      <c r="E224" s="2">
        <v>4.02E-2</v>
      </c>
      <c r="F224" s="2">
        <v>0.1086</v>
      </c>
      <c r="G224" s="2">
        <v>2.3099999999999999E-2</v>
      </c>
      <c r="H224" s="2">
        <v>3.0099999999999998E-2</v>
      </c>
      <c r="I224" s="2">
        <v>2.4899999999999999E-2</v>
      </c>
    </row>
    <row r="225" spans="1:9" x14ac:dyDescent="0.35">
      <c r="A225" s="3">
        <v>0.12</v>
      </c>
      <c r="B225" s="2">
        <v>0.73970000000000002</v>
      </c>
      <c r="C225" s="2">
        <v>4.6399999999999997E-2</v>
      </c>
      <c r="D225" s="2">
        <v>0.1207</v>
      </c>
      <c r="E225" s="2">
        <v>3.95E-2</v>
      </c>
      <c r="F225" s="2">
        <v>0.11</v>
      </c>
      <c r="G225" s="2">
        <v>2.2800000000000001E-2</v>
      </c>
      <c r="H225" s="2">
        <v>2.9600000000000001E-2</v>
      </c>
      <c r="I225" s="2">
        <v>2.3699999999999999E-2</v>
      </c>
    </row>
    <row r="226" spans="1:9" x14ac:dyDescent="0.35">
      <c r="A226" s="3">
        <v>0.13320000000000001</v>
      </c>
      <c r="B226" s="2">
        <v>0.73750000000000004</v>
      </c>
      <c r="C226" s="2">
        <v>4.5199999999999997E-2</v>
      </c>
      <c r="D226" s="2">
        <v>0.122</v>
      </c>
      <c r="E226" s="2">
        <v>3.8699999999999998E-2</v>
      </c>
      <c r="F226" s="2">
        <v>0.1115</v>
      </c>
      <c r="G226" s="2">
        <v>2.24E-2</v>
      </c>
      <c r="H226" s="2">
        <v>2.9000000000000001E-2</v>
      </c>
      <c r="I226" s="2">
        <v>2.2499999999999999E-2</v>
      </c>
    </row>
    <row r="227" spans="1:9" x14ac:dyDescent="0.35">
      <c r="A227" s="3">
        <v>0.13339999999999999</v>
      </c>
      <c r="B227" s="2">
        <v>0.73750000000000004</v>
      </c>
      <c r="C227" s="2">
        <v>4.5199999999999997E-2</v>
      </c>
      <c r="D227" s="2">
        <v>0.122</v>
      </c>
      <c r="E227" s="2">
        <v>3.8699999999999998E-2</v>
      </c>
      <c r="F227" s="2">
        <v>0.1115</v>
      </c>
      <c r="G227" s="2">
        <v>2.24E-2</v>
      </c>
      <c r="H227" s="2">
        <v>2.9000000000000001E-2</v>
      </c>
      <c r="I227" s="2">
        <v>2.2499999999999999E-2</v>
      </c>
    </row>
    <row r="228" spans="1:9" x14ac:dyDescent="0.35">
      <c r="A228" s="3">
        <v>0.14660000000000001</v>
      </c>
      <c r="B228" s="2">
        <v>0.73529999999999995</v>
      </c>
      <c r="C228" s="2">
        <v>4.41E-2</v>
      </c>
      <c r="D228" s="2">
        <v>0.1234</v>
      </c>
      <c r="E228" s="2">
        <v>3.7999999999999999E-2</v>
      </c>
      <c r="F228" s="2">
        <v>0.1129</v>
      </c>
      <c r="G228" s="2">
        <v>2.2100000000000002E-2</v>
      </c>
      <c r="H228" s="2">
        <v>2.8400000000000002E-2</v>
      </c>
      <c r="I228" s="2">
        <v>2.1399999999999999E-2</v>
      </c>
    </row>
    <row r="229" spans="1:9" x14ac:dyDescent="0.35">
      <c r="A229" s="3">
        <v>0.16</v>
      </c>
      <c r="B229" s="2">
        <v>0.73299999999999998</v>
      </c>
      <c r="C229" s="2">
        <v>4.2900000000000001E-2</v>
      </c>
      <c r="D229" s="2">
        <v>0.12470000000000001</v>
      </c>
      <c r="E229" s="2">
        <v>3.7199999999999997E-2</v>
      </c>
      <c r="F229" s="2">
        <v>0.1144</v>
      </c>
      <c r="G229" s="2">
        <v>2.18E-2</v>
      </c>
      <c r="H229" s="2">
        <v>2.7900000000000001E-2</v>
      </c>
      <c r="I229" s="2">
        <v>2.0299999999999999E-2</v>
      </c>
    </row>
    <row r="230" spans="1:9" x14ac:dyDescent="0.35">
      <c r="A230" s="3">
        <v>0.17319999999999999</v>
      </c>
      <c r="B230" s="2">
        <v>0.73070000000000002</v>
      </c>
      <c r="C230" s="2">
        <v>4.1799999999999997E-2</v>
      </c>
      <c r="D230" s="2">
        <v>0.12609999999999999</v>
      </c>
      <c r="E230" s="2">
        <v>3.6400000000000002E-2</v>
      </c>
      <c r="F230" s="2">
        <v>0.1158</v>
      </c>
      <c r="G230" s="2">
        <v>2.1399999999999999E-2</v>
      </c>
      <c r="H230" s="2">
        <v>2.7300000000000001E-2</v>
      </c>
      <c r="I230" s="2">
        <v>1.9199999999999998E-2</v>
      </c>
    </row>
    <row r="231" spans="1:9" x14ac:dyDescent="0.35">
      <c r="A231" s="3">
        <v>0.1734</v>
      </c>
      <c r="B231" s="2">
        <v>0.73070000000000002</v>
      </c>
      <c r="C231" s="2">
        <v>4.1799999999999997E-2</v>
      </c>
      <c r="D231" s="2">
        <v>0.12609999999999999</v>
      </c>
      <c r="E231" s="2">
        <v>3.6400000000000002E-2</v>
      </c>
      <c r="F231" s="2">
        <v>0.1159</v>
      </c>
      <c r="G231" s="2">
        <v>2.1399999999999999E-2</v>
      </c>
      <c r="H231" s="2">
        <v>2.7300000000000001E-2</v>
      </c>
      <c r="I231" s="2">
        <v>1.9199999999999998E-2</v>
      </c>
    </row>
    <row r="232" spans="1:9" x14ac:dyDescent="0.35">
      <c r="A232" s="3">
        <v>0.18</v>
      </c>
      <c r="B232" s="2">
        <v>0.72950000000000004</v>
      </c>
      <c r="C232" s="2">
        <v>4.1300000000000003E-2</v>
      </c>
      <c r="D232" s="2">
        <v>0.1268</v>
      </c>
      <c r="E232" s="2">
        <v>3.5999999999999997E-2</v>
      </c>
      <c r="F232" s="2">
        <v>0.1166</v>
      </c>
      <c r="G232" s="2">
        <v>2.12E-2</v>
      </c>
      <c r="H232" s="2">
        <v>2.7E-2</v>
      </c>
      <c r="I232" s="2">
        <v>1.8700000000000001E-2</v>
      </c>
    </row>
    <row r="233" spans="1:9" x14ac:dyDescent="0.35">
      <c r="A233" s="3">
        <v>0.18340000000000001</v>
      </c>
      <c r="B233" s="2">
        <v>0.72889999999999999</v>
      </c>
      <c r="C233" s="2">
        <v>4.1000000000000002E-2</v>
      </c>
      <c r="D233" s="2">
        <v>0.12720000000000001</v>
      </c>
      <c r="E233" s="2">
        <v>3.5799999999999998E-2</v>
      </c>
      <c r="F233" s="2">
        <v>0.11700000000000001</v>
      </c>
      <c r="G233" s="2">
        <v>2.1100000000000001E-2</v>
      </c>
      <c r="H233" s="2">
        <v>2.69E-2</v>
      </c>
      <c r="I233" s="2">
        <v>1.8499999999999999E-2</v>
      </c>
    </row>
    <row r="234" spans="1:9" x14ac:dyDescent="0.35">
      <c r="A234" s="3">
        <v>0.18659999999999999</v>
      </c>
      <c r="B234" s="2">
        <v>0.72840000000000005</v>
      </c>
      <c r="C234" s="2">
        <v>4.07E-2</v>
      </c>
      <c r="D234" s="2">
        <v>0.1275</v>
      </c>
      <c r="E234" s="2">
        <v>3.56E-2</v>
      </c>
      <c r="F234" s="2">
        <v>0.1173</v>
      </c>
      <c r="G234" s="2">
        <v>2.1100000000000001E-2</v>
      </c>
      <c r="H234" s="2">
        <v>2.6800000000000001E-2</v>
      </c>
      <c r="I234" s="2">
        <v>1.8200000000000001E-2</v>
      </c>
    </row>
    <row r="235" spans="1:9" x14ac:dyDescent="0.35">
      <c r="A235" s="3">
        <v>0.19980000000000001</v>
      </c>
      <c r="B235" s="2">
        <v>0.72599999999999998</v>
      </c>
      <c r="C235" s="2">
        <v>3.9600000000000003E-2</v>
      </c>
      <c r="D235" s="2">
        <v>0.12889999999999999</v>
      </c>
      <c r="E235" s="2">
        <v>3.4799999999999998E-2</v>
      </c>
      <c r="F235" s="2">
        <v>0.1188</v>
      </c>
      <c r="G235" s="2">
        <v>2.07E-2</v>
      </c>
      <c r="H235" s="2">
        <v>2.63E-2</v>
      </c>
      <c r="I235" s="2">
        <v>1.7299999999999999E-2</v>
      </c>
    </row>
    <row r="236" spans="1:9" x14ac:dyDescent="0.35">
      <c r="A236" s="3">
        <v>0.2</v>
      </c>
      <c r="B236" s="2">
        <v>0.72599999999999998</v>
      </c>
      <c r="C236" s="2">
        <v>3.9600000000000003E-2</v>
      </c>
      <c r="D236" s="2">
        <v>0.12889999999999999</v>
      </c>
      <c r="E236" s="2">
        <v>3.4799999999999998E-2</v>
      </c>
      <c r="F236" s="2">
        <v>0.1188</v>
      </c>
      <c r="G236" s="2">
        <v>2.07E-2</v>
      </c>
      <c r="H236" s="2">
        <v>2.6200000000000001E-2</v>
      </c>
      <c r="I236" s="2">
        <v>1.72E-2</v>
      </c>
    </row>
    <row r="237" spans="1:9" x14ac:dyDescent="0.35">
      <c r="A237" s="3">
        <v>0.2132</v>
      </c>
      <c r="B237" s="2">
        <v>0.72360000000000002</v>
      </c>
      <c r="C237" s="2">
        <v>3.85E-2</v>
      </c>
      <c r="D237" s="2">
        <v>0.1303</v>
      </c>
      <c r="E237" s="2">
        <v>3.4000000000000002E-2</v>
      </c>
      <c r="F237" s="2">
        <v>0.1203</v>
      </c>
      <c r="G237" s="2">
        <v>2.0299999999999999E-2</v>
      </c>
      <c r="H237" s="2">
        <v>2.5700000000000001E-2</v>
      </c>
      <c r="I237" s="2">
        <v>1.6299999999999999E-2</v>
      </c>
    </row>
    <row r="238" spans="1:9" x14ac:dyDescent="0.35">
      <c r="A238" s="3">
        <v>0.21340000000000001</v>
      </c>
      <c r="B238" s="2">
        <v>0.72360000000000002</v>
      </c>
      <c r="C238" s="2">
        <v>3.8399999999999997E-2</v>
      </c>
      <c r="D238" s="2">
        <v>0.1303</v>
      </c>
      <c r="E238" s="2">
        <v>3.4000000000000002E-2</v>
      </c>
      <c r="F238" s="2">
        <v>0.12039999999999999</v>
      </c>
      <c r="G238" s="2">
        <v>2.0299999999999999E-2</v>
      </c>
      <c r="H238" s="2">
        <v>2.5700000000000001E-2</v>
      </c>
      <c r="I238" s="2">
        <v>1.6299999999999999E-2</v>
      </c>
    </row>
    <row r="239" spans="1:9" x14ac:dyDescent="0.35">
      <c r="A239" s="3">
        <v>0.21659999999999999</v>
      </c>
      <c r="B239" s="2">
        <v>0.72299999999999998</v>
      </c>
      <c r="C239" s="2">
        <v>3.8199999999999998E-2</v>
      </c>
      <c r="D239" s="2">
        <v>0.13070000000000001</v>
      </c>
      <c r="E239" s="2">
        <v>3.3799999999999997E-2</v>
      </c>
      <c r="F239" s="2">
        <v>0.1207</v>
      </c>
      <c r="G239" s="2">
        <v>2.0199999999999999E-2</v>
      </c>
      <c r="H239" s="2">
        <v>2.5600000000000001E-2</v>
      </c>
      <c r="I239" s="2">
        <v>1.61E-2</v>
      </c>
    </row>
    <row r="240" spans="1:9" x14ac:dyDescent="0.35">
      <c r="A240" s="3">
        <v>0.22339999999999999</v>
      </c>
      <c r="B240" s="2">
        <v>0.7218</v>
      </c>
      <c r="C240" s="2">
        <v>3.7600000000000001E-2</v>
      </c>
      <c r="D240" s="2">
        <v>0.13139999999999999</v>
      </c>
      <c r="E240" s="2">
        <v>3.3300000000000003E-2</v>
      </c>
      <c r="F240" s="2">
        <v>0.1215</v>
      </c>
      <c r="G240" s="2">
        <v>2.01E-2</v>
      </c>
      <c r="H240" s="2">
        <v>2.53E-2</v>
      </c>
      <c r="I240" s="2">
        <v>1.5599999999999999E-2</v>
      </c>
    </row>
    <row r="241" spans="1:9" x14ac:dyDescent="0.35">
      <c r="A241" s="3">
        <v>0.2266</v>
      </c>
      <c r="B241" s="2">
        <v>0.72119999999999995</v>
      </c>
      <c r="C241" s="2">
        <v>3.73E-2</v>
      </c>
      <c r="D241" s="2">
        <v>0.13170000000000001</v>
      </c>
      <c r="E241" s="2">
        <v>3.3099999999999997E-2</v>
      </c>
      <c r="F241" s="2">
        <v>0.12189999999999999</v>
      </c>
      <c r="G241" s="2">
        <v>0.02</v>
      </c>
      <c r="H241" s="2">
        <v>2.52E-2</v>
      </c>
      <c r="I241" s="2">
        <v>1.54E-2</v>
      </c>
    </row>
    <row r="242" spans="1:9" x14ac:dyDescent="0.35">
      <c r="A242" s="3">
        <v>0.24</v>
      </c>
      <c r="B242" s="2">
        <v>0.71870000000000001</v>
      </c>
      <c r="C242" s="2">
        <v>3.6200000000000003E-2</v>
      </c>
      <c r="D242" s="2">
        <v>0.1331</v>
      </c>
      <c r="E242" s="2">
        <v>3.2300000000000002E-2</v>
      </c>
      <c r="F242" s="2">
        <v>0.1234</v>
      </c>
      <c r="G242" s="2">
        <v>1.9599999999999999E-2</v>
      </c>
      <c r="H242" s="2">
        <v>2.47E-2</v>
      </c>
      <c r="I242" s="2">
        <v>1.4500000000000001E-2</v>
      </c>
    </row>
    <row r="243" spans="1:9" x14ac:dyDescent="0.35">
      <c r="A243" s="3">
        <v>0.25</v>
      </c>
      <c r="B243" s="2">
        <v>0.71689999999999998</v>
      </c>
      <c r="C243" s="2">
        <v>3.5400000000000001E-2</v>
      </c>
      <c r="D243" s="2">
        <v>0.13420000000000001</v>
      </c>
      <c r="E243" s="2">
        <v>3.1600000000000003E-2</v>
      </c>
      <c r="F243" s="2">
        <v>0.1246</v>
      </c>
      <c r="G243" s="2">
        <v>1.9300000000000001E-2</v>
      </c>
      <c r="H243" s="2">
        <v>2.4400000000000002E-2</v>
      </c>
      <c r="I243" s="2">
        <v>1.3899999999999999E-2</v>
      </c>
    </row>
    <row r="244" spans="1:9" x14ac:dyDescent="0.35">
      <c r="A244" s="3">
        <v>0.25319999999999998</v>
      </c>
      <c r="B244" s="2">
        <v>0.71630000000000005</v>
      </c>
      <c r="C244" s="2">
        <v>3.5099999999999999E-2</v>
      </c>
      <c r="D244" s="2">
        <v>0.1346</v>
      </c>
      <c r="E244" s="2">
        <v>3.1399999999999997E-2</v>
      </c>
      <c r="F244" s="2">
        <v>0.1249</v>
      </c>
      <c r="G244" s="2">
        <v>1.9199999999999998E-2</v>
      </c>
      <c r="H244" s="2">
        <v>2.4199999999999999E-2</v>
      </c>
      <c r="I244" s="2">
        <v>1.37E-2</v>
      </c>
    </row>
    <row r="245" spans="1:9" x14ac:dyDescent="0.35">
      <c r="A245" s="3">
        <v>0.25340000000000001</v>
      </c>
      <c r="B245" s="2">
        <v>0.71619999999999995</v>
      </c>
      <c r="C245" s="2">
        <v>3.5099999999999999E-2</v>
      </c>
      <c r="D245" s="2">
        <v>0.1346</v>
      </c>
      <c r="E245" s="2">
        <v>3.1399999999999997E-2</v>
      </c>
      <c r="F245" s="2">
        <v>0.125</v>
      </c>
      <c r="G245" s="2">
        <v>1.9199999999999998E-2</v>
      </c>
      <c r="H245" s="2">
        <v>2.4199999999999999E-2</v>
      </c>
      <c r="I245" s="2">
        <v>1.37E-2</v>
      </c>
    </row>
    <row r="246" spans="1:9" x14ac:dyDescent="0.35">
      <c r="A246" s="3">
        <v>0.26340000000000002</v>
      </c>
      <c r="B246" s="2">
        <v>0.71440000000000003</v>
      </c>
      <c r="C246" s="2">
        <v>3.4299999999999997E-2</v>
      </c>
      <c r="D246" s="2">
        <v>0.13569999999999999</v>
      </c>
      <c r="E246" s="2">
        <v>3.0700000000000002E-2</v>
      </c>
      <c r="F246" s="2">
        <v>0.12609999999999999</v>
      </c>
      <c r="G246" s="2">
        <v>1.89E-2</v>
      </c>
      <c r="H246" s="2">
        <v>2.3900000000000001E-2</v>
      </c>
      <c r="I246" s="2">
        <v>1.2999999999999999E-2</v>
      </c>
    </row>
    <row r="247" spans="1:9" x14ac:dyDescent="0.35">
      <c r="A247" s="3">
        <v>0.2666</v>
      </c>
      <c r="B247" s="2">
        <v>0.7137</v>
      </c>
      <c r="C247" s="2">
        <v>3.4000000000000002E-2</v>
      </c>
      <c r="D247" s="2">
        <v>0.13600000000000001</v>
      </c>
      <c r="E247" s="2">
        <v>3.0499999999999999E-2</v>
      </c>
      <c r="F247" s="2">
        <v>0.1265</v>
      </c>
      <c r="G247" s="2">
        <v>1.89E-2</v>
      </c>
      <c r="H247" s="2">
        <v>2.3800000000000002E-2</v>
      </c>
      <c r="I247" s="2">
        <v>1.29E-2</v>
      </c>
    </row>
    <row r="248" spans="1:9" x14ac:dyDescent="0.35">
      <c r="A248" s="3">
        <v>0.26679999999999998</v>
      </c>
      <c r="B248" s="2">
        <v>0.7137</v>
      </c>
      <c r="C248" s="2">
        <v>3.4000000000000002E-2</v>
      </c>
      <c r="D248" s="2">
        <v>0.13600000000000001</v>
      </c>
      <c r="E248" s="2">
        <v>3.0499999999999999E-2</v>
      </c>
      <c r="F248" s="2">
        <v>0.1265</v>
      </c>
      <c r="G248" s="2">
        <v>1.8800000000000001E-2</v>
      </c>
      <c r="H248" s="2">
        <v>2.3699999999999999E-2</v>
      </c>
      <c r="I248" s="2">
        <v>1.2800000000000001E-2</v>
      </c>
    </row>
    <row r="249" spans="1:9" x14ac:dyDescent="0.35">
      <c r="A249" s="3">
        <v>0.27660000000000001</v>
      </c>
      <c r="B249" s="2">
        <v>0.71179999999999999</v>
      </c>
      <c r="C249" s="2">
        <v>3.32E-2</v>
      </c>
      <c r="D249" s="2">
        <v>0.1371</v>
      </c>
      <c r="E249" s="2">
        <v>2.98E-2</v>
      </c>
      <c r="F249" s="2">
        <v>0.12770000000000001</v>
      </c>
      <c r="G249" s="2">
        <v>1.8599999999999998E-2</v>
      </c>
      <c r="H249" s="2">
        <v>2.3400000000000001E-2</v>
      </c>
      <c r="I249" s="2">
        <v>1.23E-2</v>
      </c>
    </row>
    <row r="250" spans="1:9" x14ac:dyDescent="0.35">
      <c r="A250" s="3">
        <v>0.28000000000000003</v>
      </c>
      <c r="B250" s="2">
        <v>0.71120000000000005</v>
      </c>
      <c r="C250" s="2">
        <v>3.3000000000000002E-2</v>
      </c>
      <c r="D250" s="2">
        <v>0.13739999999999999</v>
      </c>
      <c r="E250" s="2">
        <v>2.9600000000000001E-2</v>
      </c>
      <c r="F250" s="2">
        <v>0.12809999999999999</v>
      </c>
      <c r="G250" s="2">
        <v>1.8499999999999999E-2</v>
      </c>
      <c r="H250" s="2">
        <v>2.3300000000000001E-2</v>
      </c>
      <c r="I250" s="2">
        <v>1.21E-2</v>
      </c>
    </row>
    <row r="251" spans="1:9" x14ac:dyDescent="0.35">
      <c r="A251" s="3">
        <v>0.28660000000000002</v>
      </c>
      <c r="B251" s="2">
        <v>0.70989999999999998</v>
      </c>
      <c r="C251" s="2">
        <v>3.2399999999999998E-2</v>
      </c>
      <c r="D251" s="2">
        <v>0.13819999999999999</v>
      </c>
      <c r="E251" s="2">
        <v>2.92E-2</v>
      </c>
      <c r="F251" s="2">
        <v>0.12889999999999999</v>
      </c>
      <c r="G251" s="2">
        <v>1.83E-2</v>
      </c>
      <c r="H251" s="2">
        <v>2.3E-2</v>
      </c>
      <c r="I251" s="2">
        <v>1.17E-2</v>
      </c>
    </row>
    <row r="252" spans="1:9" x14ac:dyDescent="0.35">
      <c r="A252" s="3">
        <v>0.29320000000000002</v>
      </c>
      <c r="B252" s="2">
        <v>0.70860000000000001</v>
      </c>
      <c r="C252" s="2">
        <v>3.1899999999999998E-2</v>
      </c>
      <c r="D252" s="2">
        <v>0.1389</v>
      </c>
      <c r="E252" s="2">
        <v>2.87E-2</v>
      </c>
      <c r="F252" s="2">
        <v>0.12970000000000001</v>
      </c>
      <c r="G252" s="2">
        <v>1.8100000000000002E-2</v>
      </c>
      <c r="H252" s="2">
        <v>2.2800000000000001E-2</v>
      </c>
      <c r="I252" s="2">
        <v>1.1299999999999999E-2</v>
      </c>
    </row>
    <row r="253" spans="1:9" x14ac:dyDescent="0.35">
      <c r="A253" s="3">
        <v>0.29339999999999999</v>
      </c>
      <c r="B253" s="2">
        <v>0.70860000000000001</v>
      </c>
      <c r="C253" s="2">
        <v>3.1899999999999998E-2</v>
      </c>
      <c r="D253" s="2">
        <v>0.1389</v>
      </c>
      <c r="E253" s="2">
        <v>2.87E-2</v>
      </c>
      <c r="F253" s="2">
        <v>0.12970000000000001</v>
      </c>
      <c r="G253" s="2">
        <v>1.8100000000000002E-2</v>
      </c>
      <c r="H253" s="2">
        <v>2.2800000000000001E-2</v>
      </c>
      <c r="I253" s="2">
        <v>1.1299999999999999E-2</v>
      </c>
    </row>
    <row r="254" spans="1:9" x14ac:dyDescent="0.35">
      <c r="A254" s="3">
        <v>0.30659999999999998</v>
      </c>
      <c r="B254" s="2">
        <v>0.70599999999999996</v>
      </c>
      <c r="C254" s="2">
        <v>3.0800000000000001E-2</v>
      </c>
      <c r="D254" s="2">
        <v>0.1404</v>
      </c>
      <c r="E254" s="2">
        <v>2.7799999999999998E-2</v>
      </c>
      <c r="F254" s="2">
        <v>0.1313</v>
      </c>
      <c r="G254" s="2">
        <v>1.77E-2</v>
      </c>
      <c r="H254" s="2">
        <v>2.24E-2</v>
      </c>
      <c r="I254" s="2">
        <v>1.06E-2</v>
      </c>
    </row>
    <row r="255" spans="1:9" x14ac:dyDescent="0.35">
      <c r="A255" s="3">
        <v>0.30680000000000002</v>
      </c>
      <c r="B255" s="2">
        <v>0.70599999999999996</v>
      </c>
      <c r="C255" s="2">
        <v>3.0800000000000001E-2</v>
      </c>
      <c r="D255" s="2">
        <v>0.1404</v>
      </c>
      <c r="E255" s="2">
        <v>2.7799999999999998E-2</v>
      </c>
      <c r="F255" s="2">
        <v>0.1313</v>
      </c>
      <c r="G255" s="2">
        <v>1.77E-2</v>
      </c>
      <c r="H255" s="2">
        <v>2.23E-2</v>
      </c>
      <c r="I255" s="2">
        <v>1.06E-2</v>
      </c>
    </row>
    <row r="256" spans="1:9" x14ac:dyDescent="0.35">
      <c r="A256" s="3">
        <v>0.31659999999999999</v>
      </c>
      <c r="B256" s="2">
        <v>0.70409999999999995</v>
      </c>
      <c r="C256" s="2">
        <v>0.03</v>
      </c>
      <c r="D256" s="2">
        <v>0.14149999999999999</v>
      </c>
      <c r="E256" s="2">
        <v>2.7099999999999999E-2</v>
      </c>
      <c r="F256" s="2">
        <v>0.13250000000000001</v>
      </c>
      <c r="G256" s="2">
        <v>1.7399999999999999E-2</v>
      </c>
      <c r="H256" s="2">
        <v>2.1999999999999999E-2</v>
      </c>
      <c r="I256" s="2">
        <v>1.01E-2</v>
      </c>
    </row>
    <row r="257" spans="1:9" x14ac:dyDescent="0.35">
      <c r="A257" s="3">
        <v>0.31979999999999997</v>
      </c>
      <c r="B257" s="2">
        <v>0.70340000000000003</v>
      </c>
      <c r="C257" s="2">
        <v>2.98E-2</v>
      </c>
      <c r="D257" s="2">
        <v>0.14180000000000001</v>
      </c>
      <c r="E257" s="2">
        <v>2.69E-2</v>
      </c>
      <c r="F257" s="2">
        <v>0.13289999999999999</v>
      </c>
      <c r="G257" s="2">
        <v>1.7399999999999999E-2</v>
      </c>
      <c r="H257" s="2">
        <v>2.1899999999999999E-2</v>
      </c>
      <c r="I257" s="2">
        <v>9.9000000000000008E-3</v>
      </c>
    </row>
    <row r="258" spans="1:9" x14ac:dyDescent="0.35">
      <c r="A258" s="3">
        <v>0.32</v>
      </c>
      <c r="B258" s="2">
        <v>0.70340000000000003</v>
      </c>
      <c r="C258" s="2">
        <v>2.98E-2</v>
      </c>
      <c r="D258" s="2">
        <v>0.14180000000000001</v>
      </c>
      <c r="E258" s="2">
        <v>2.69E-2</v>
      </c>
      <c r="F258" s="2">
        <v>0.13289999999999999</v>
      </c>
      <c r="G258" s="2">
        <v>1.7299999999999999E-2</v>
      </c>
      <c r="H258" s="2">
        <v>2.1899999999999999E-2</v>
      </c>
      <c r="I258" s="2">
        <v>9.9000000000000008E-3</v>
      </c>
    </row>
    <row r="259" spans="1:9" x14ac:dyDescent="0.35">
      <c r="A259" s="3">
        <v>0.32319999999999999</v>
      </c>
      <c r="B259" s="2">
        <v>0.70279999999999998</v>
      </c>
      <c r="C259" s="2">
        <v>2.9499999999999998E-2</v>
      </c>
      <c r="D259" s="2">
        <v>0.14219999999999999</v>
      </c>
      <c r="E259" s="2">
        <v>2.6700000000000002E-2</v>
      </c>
      <c r="F259" s="2">
        <v>0.1333</v>
      </c>
      <c r="G259" s="2">
        <v>1.7299999999999999E-2</v>
      </c>
      <c r="H259" s="2">
        <v>2.18E-2</v>
      </c>
      <c r="I259" s="2">
        <v>9.7999999999999997E-3</v>
      </c>
    </row>
    <row r="260" spans="1:9" x14ac:dyDescent="0.35">
      <c r="A260" s="3">
        <v>0.33</v>
      </c>
      <c r="B260" s="2">
        <v>0.70140000000000002</v>
      </c>
      <c r="C260" s="2">
        <v>2.9000000000000001E-2</v>
      </c>
      <c r="D260" s="2">
        <v>0.1429</v>
      </c>
      <c r="E260" s="2">
        <v>2.6200000000000001E-2</v>
      </c>
      <c r="F260" s="2">
        <v>0.1341</v>
      </c>
      <c r="G260" s="2">
        <v>1.7100000000000001E-2</v>
      </c>
      <c r="H260" s="2">
        <v>2.1600000000000001E-2</v>
      </c>
      <c r="I260" s="2">
        <v>9.4000000000000004E-3</v>
      </c>
    </row>
    <row r="261" spans="1:9" x14ac:dyDescent="0.35">
      <c r="A261" s="3">
        <v>0.3332</v>
      </c>
      <c r="B261" s="2">
        <v>0.70079999999999998</v>
      </c>
      <c r="C261" s="2">
        <v>2.8799999999999999E-2</v>
      </c>
      <c r="D261" s="2">
        <v>0.14330000000000001</v>
      </c>
      <c r="E261" s="2">
        <v>2.5999999999999999E-2</v>
      </c>
      <c r="F261" s="2">
        <v>0.13450000000000001</v>
      </c>
      <c r="G261" s="2">
        <v>1.7000000000000001E-2</v>
      </c>
      <c r="H261" s="2">
        <v>2.1499999999999998E-2</v>
      </c>
      <c r="I261" s="2">
        <v>9.2999999999999992E-3</v>
      </c>
    </row>
    <row r="262" spans="1:9" x14ac:dyDescent="0.35">
      <c r="A262" s="3">
        <v>0.33339999999999997</v>
      </c>
      <c r="B262" s="2">
        <v>0.70069999999999999</v>
      </c>
      <c r="C262" s="2">
        <v>2.87E-2</v>
      </c>
      <c r="D262" s="2">
        <v>0.14330000000000001</v>
      </c>
      <c r="E262" s="2">
        <v>2.5999999999999999E-2</v>
      </c>
      <c r="F262" s="2">
        <v>0.13450000000000001</v>
      </c>
      <c r="G262" s="2">
        <v>1.7000000000000001E-2</v>
      </c>
      <c r="H262" s="2">
        <v>2.1499999999999998E-2</v>
      </c>
      <c r="I262" s="2">
        <v>9.2999999999999992E-3</v>
      </c>
    </row>
    <row r="263" spans="1:9" x14ac:dyDescent="0.35">
      <c r="A263" s="3">
        <v>0.34339999999999998</v>
      </c>
      <c r="B263" s="2">
        <v>0.69869999999999999</v>
      </c>
      <c r="C263" s="2">
        <v>2.8000000000000001E-2</v>
      </c>
      <c r="D263" s="2">
        <v>0.1444</v>
      </c>
      <c r="E263" s="2">
        <v>2.53E-2</v>
      </c>
      <c r="F263" s="2">
        <v>0.13569999999999999</v>
      </c>
      <c r="G263" s="2">
        <v>1.67E-2</v>
      </c>
      <c r="H263" s="2">
        <v>2.1100000000000001E-2</v>
      </c>
      <c r="I263" s="2">
        <v>8.8000000000000005E-3</v>
      </c>
    </row>
    <row r="264" spans="1:9" x14ac:dyDescent="0.35">
      <c r="A264" s="3">
        <v>0.34660000000000002</v>
      </c>
      <c r="B264" s="2">
        <v>0.69810000000000005</v>
      </c>
      <c r="C264" s="2">
        <v>2.7699999999999999E-2</v>
      </c>
      <c r="D264" s="2">
        <v>0.14480000000000001</v>
      </c>
      <c r="E264" s="2">
        <v>2.5100000000000001E-2</v>
      </c>
      <c r="F264" s="2">
        <v>0.1361</v>
      </c>
      <c r="G264" s="2">
        <v>1.66E-2</v>
      </c>
      <c r="H264" s="2">
        <v>2.1000000000000001E-2</v>
      </c>
      <c r="I264" s="2">
        <v>8.6999999999999994E-3</v>
      </c>
    </row>
    <row r="265" spans="1:9" x14ac:dyDescent="0.35">
      <c r="A265" s="3">
        <v>0.3468</v>
      </c>
      <c r="B265" s="2">
        <v>0.69799999999999995</v>
      </c>
      <c r="C265" s="2">
        <v>2.7699999999999999E-2</v>
      </c>
      <c r="D265" s="2">
        <v>0.14480000000000001</v>
      </c>
      <c r="E265" s="2">
        <v>2.5100000000000001E-2</v>
      </c>
      <c r="F265" s="2">
        <v>0.13619999999999999</v>
      </c>
      <c r="G265" s="2">
        <v>1.66E-2</v>
      </c>
      <c r="H265" s="2">
        <v>2.1000000000000001E-2</v>
      </c>
      <c r="I265" s="2">
        <v>8.6999999999999994E-3</v>
      </c>
    </row>
    <row r="266" spans="1:9" x14ac:dyDescent="0.35">
      <c r="A266" s="3">
        <v>0.35</v>
      </c>
      <c r="B266" s="2">
        <v>0.69740000000000002</v>
      </c>
      <c r="C266" s="2">
        <v>2.75E-2</v>
      </c>
      <c r="D266" s="2">
        <v>0.1452</v>
      </c>
      <c r="E266" s="2">
        <v>2.4899999999999999E-2</v>
      </c>
      <c r="F266" s="2">
        <v>0.1366</v>
      </c>
      <c r="G266" s="2">
        <v>1.6500000000000001E-2</v>
      </c>
      <c r="H266" s="2">
        <v>2.0899999999999998E-2</v>
      </c>
      <c r="I266" s="2">
        <v>8.5000000000000006E-3</v>
      </c>
    </row>
    <row r="267" spans="1:9" x14ac:dyDescent="0.35">
      <c r="A267" s="3">
        <v>0.35339999999999999</v>
      </c>
      <c r="B267" s="2">
        <v>0.69669999999999999</v>
      </c>
      <c r="C267" s="2">
        <v>2.7199999999999998E-2</v>
      </c>
      <c r="D267" s="2">
        <v>0.14549999999999999</v>
      </c>
      <c r="E267" s="2">
        <v>2.47E-2</v>
      </c>
      <c r="F267" s="2">
        <v>0.13700000000000001</v>
      </c>
      <c r="G267" s="2">
        <v>1.6400000000000001E-2</v>
      </c>
      <c r="H267" s="2">
        <v>2.0799999999999999E-2</v>
      </c>
      <c r="I267" s="2">
        <v>8.3999999999999995E-3</v>
      </c>
    </row>
    <row r="268" spans="1:9" x14ac:dyDescent="0.35">
      <c r="A268" s="3">
        <v>0.35680000000000001</v>
      </c>
      <c r="B268" s="2">
        <v>0.69599999999999995</v>
      </c>
      <c r="C268" s="2">
        <v>2.7E-2</v>
      </c>
      <c r="D268" s="2">
        <v>0.1459</v>
      </c>
      <c r="E268" s="2">
        <v>2.4400000000000002E-2</v>
      </c>
      <c r="F268" s="2">
        <v>0.13739999999999999</v>
      </c>
      <c r="G268" s="2">
        <v>1.6400000000000001E-2</v>
      </c>
      <c r="H268" s="2">
        <v>2.07E-2</v>
      </c>
      <c r="I268" s="2">
        <v>8.2000000000000007E-3</v>
      </c>
    </row>
    <row r="269" spans="1:9" x14ac:dyDescent="0.35">
      <c r="A269" s="3">
        <v>0.35980000000000001</v>
      </c>
      <c r="B269" s="2">
        <v>0.69540000000000002</v>
      </c>
      <c r="C269" s="2">
        <v>2.6800000000000001E-2</v>
      </c>
      <c r="D269" s="2">
        <v>0.14630000000000001</v>
      </c>
      <c r="E269" s="2">
        <v>2.4199999999999999E-2</v>
      </c>
      <c r="F269" s="2">
        <v>0.13780000000000001</v>
      </c>
      <c r="G269" s="2">
        <v>1.6299999999999999E-2</v>
      </c>
      <c r="H269" s="2">
        <v>2.06E-2</v>
      </c>
      <c r="I269" s="2">
        <v>8.0999999999999996E-3</v>
      </c>
    </row>
    <row r="270" spans="1:9" x14ac:dyDescent="0.35">
      <c r="A270" s="3">
        <v>0.36</v>
      </c>
      <c r="B270" s="2">
        <v>0.69530000000000003</v>
      </c>
      <c r="C270" s="2">
        <v>2.6700000000000002E-2</v>
      </c>
      <c r="D270" s="2">
        <v>0.14630000000000001</v>
      </c>
      <c r="E270" s="2">
        <v>2.4199999999999999E-2</v>
      </c>
      <c r="F270" s="2">
        <v>0.13780000000000001</v>
      </c>
      <c r="G270" s="2">
        <v>1.6299999999999999E-2</v>
      </c>
      <c r="H270" s="2">
        <v>2.06E-2</v>
      </c>
      <c r="I270" s="2">
        <v>8.0999999999999996E-3</v>
      </c>
    </row>
    <row r="271" spans="1:9" x14ac:dyDescent="0.35">
      <c r="A271" s="3">
        <v>0.3634</v>
      </c>
      <c r="B271" s="2">
        <v>0.6946</v>
      </c>
      <c r="C271" s="2">
        <v>2.6499999999999999E-2</v>
      </c>
      <c r="D271" s="2">
        <v>0.1467</v>
      </c>
      <c r="E271" s="2">
        <v>2.4E-2</v>
      </c>
      <c r="F271" s="2">
        <v>0.13819999999999999</v>
      </c>
      <c r="G271" s="2">
        <v>1.6199999999999999E-2</v>
      </c>
      <c r="H271" s="2">
        <v>2.0500000000000001E-2</v>
      </c>
      <c r="I271" s="2">
        <v>7.9000000000000008E-3</v>
      </c>
    </row>
    <row r="272" spans="1:9" x14ac:dyDescent="0.35">
      <c r="A272" s="3">
        <v>0.36659999999999998</v>
      </c>
      <c r="B272" s="2">
        <v>0.69399999999999995</v>
      </c>
      <c r="C272" s="2">
        <v>2.63E-2</v>
      </c>
      <c r="D272" s="2">
        <v>0.14699999999999999</v>
      </c>
      <c r="E272" s="2">
        <v>2.3800000000000002E-2</v>
      </c>
      <c r="F272" s="2">
        <v>0.1386</v>
      </c>
      <c r="G272" s="2">
        <v>1.61E-2</v>
      </c>
      <c r="H272" s="2">
        <v>2.0400000000000001E-2</v>
      </c>
      <c r="I272" s="2">
        <v>7.7999999999999996E-3</v>
      </c>
    </row>
    <row r="273" spans="1:9" x14ac:dyDescent="0.35">
      <c r="A273" s="3">
        <v>0.37319999999999998</v>
      </c>
      <c r="B273" s="2">
        <v>0.69259999999999999</v>
      </c>
      <c r="C273" s="2">
        <v>2.58E-2</v>
      </c>
      <c r="D273" s="2">
        <v>0.14779999999999999</v>
      </c>
      <c r="E273" s="2">
        <v>2.3300000000000001E-2</v>
      </c>
      <c r="F273" s="2">
        <v>0.1394</v>
      </c>
      <c r="G273" s="2">
        <v>1.5900000000000001E-2</v>
      </c>
      <c r="H273" s="2">
        <v>2.0199999999999999E-2</v>
      </c>
      <c r="I273" s="2">
        <v>7.4999999999999997E-3</v>
      </c>
    </row>
    <row r="274" spans="1:9" x14ac:dyDescent="0.35">
      <c r="A274" s="3">
        <v>0.37340000000000001</v>
      </c>
      <c r="B274" s="2">
        <v>0.69259999999999999</v>
      </c>
      <c r="C274" s="2">
        <v>2.58E-2</v>
      </c>
      <c r="D274" s="2">
        <v>0.14779999999999999</v>
      </c>
      <c r="E274" s="2">
        <v>2.3300000000000001E-2</v>
      </c>
      <c r="F274" s="2">
        <v>0.13950000000000001</v>
      </c>
      <c r="G274" s="2">
        <v>1.5900000000000001E-2</v>
      </c>
      <c r="H274" s="2">
        <v>2.0199999999999999E-2</v>
      </c>
      <c r="I274" s="2">
        <v>7.4999999999999997E-3</v>
      </c>
    </row>
    <row r="275" spans="1:9" x14ac:dyDescent="0.35">
      <c r="A275" s="3">
        <v>0.37659999999999999</v>
      </c>
      <c r="B275" s="2">
        <v>0.69189999999999996</v>
      </c>
      <c r="C275" s="2">
        <v>2.5600000000000001E-2</v>
      </c>
      <c r="D275" s="2">
        <v>0.14810000000000001</v>
      </c>
      <c r="E275" s="2">
        <v>2.3099999999999999E-2</v>
      </c>
      <c r="F275" s="2">
        <v>0.1399</v>
      </c>
      <c r="G275" s="2">
        <v>1.5900000000000001E-2</v>
      </c>
      <c r="H275" s="2">
        <v>2.01E-2</v>
      </c>
      <c r="I275" s="2">
        <v>7.4000000000000003E-3</v>
      </c>
    </row>
    <row r="276" spans="1:9" x14ac:dyDescent="0.35">
      <c r="A276" s="3">
        <v>0.38</v>
      </c>
      <c r="B276" s="2">
        <v>0.69120000000000004</v>
      </c>
      <c r="C276" s="2">
        <v>2.53E-2</v>
      </c>
      <c r="D276" s="2">
        <v>0.14849999999999999</v>
      </c>
      <c r="E276" s="2">
        <v>2.29E-2</v>
      </c>
      <c r="F276" s="2">
        <v>0.14030000000000001</v>
      </c>
      <c r="G276" s="2">
        <v>1.5800000000000002E-2</v>
      </c>
      <c r="H276" s="2">
        <v>0.02</v>
      </c>
      <c r="I276" s="2">
        <v>7.3000000000000001E-3</v>
      </c>
    </row>
    <row r="277" spans="1:9" x14ac:dyDescent="0.35">
      <c r="A277" s="3">
        <v>0.38319999999999999</v>
      </c>
      <c r="B277" s="2">
        <v>0.69059999999999999</v>
      </c>
      <c r="C277" s="2">
        <v>2.5100000000000001E-2</v>
      </c>
      <c r="D277" s="2">
        <v>0.1489</v>
      </c>
      <c r="E277" s="2">
        <v>2.2700000000000001E-2</v>
      </c>
      <c r="F277" s="2">
        <v>0.14069999999999999</v>
      </c>
      <c r="G277" s="2">
        <v>1.5699999999999999E-2</v>
      </c>
      <c r="H277" s="2">
        <v>1.9900000000000001E-2</v>
      </c>
      <c r="I277" s="2">
        <v>7.1999999999999998E-3</v>
      </c>
    </row>
    <row r="278" spans="1:9" x14ac:dyDescent="0.35">
      <c r="A278" s="3">
        <v>0.38340000000000002</v>
      </c>
      <c r="B278" s="2">
        <v>0.6905</v>
      </c>
      <c r="C278" s="2">
        <v>2.5100000000000001E-2</v>
      </c>
      <c r="D278" s="2">
        <v>0.1489</v>
      </c>
      <c r="E278" s="2">
        <v>2.2700000000000001E-2</v>
      </c>
      <c r="F278" s="2">
        <v>0.14069999999999999</v>
      </c>
      <c r="G278" s="2">
        <v>1.5699999999999999E-2</v>
      </c>
      <c r="H278" s="2">
        <v>1.9900000000000001E-2</v>
      </c>
      <c r="I278" s="2">
        <v>7.1000000000000004E-3</v>
      </c>
    </row>
    <row r="279" spans="1:9" x14ac:dyDescent="0.35">
      <c r="A279" s="3">
        <v>0.3866</v>
      </c>
      <c r="B279" s="2">
        <v>0.68979999999999997</v>
      </c>
      <c r="C279" s="2">
        <v>2.4899999999999999E-2</v>
      </c>
      <c r="D279" s="2">
        <v>0.14929999999999999</v>
      </c>
      <c r="E279" s="2">
        <v>2.2499999999999999E-2</v>
      </c>
      <c r="F279" s="2">
        <v>0.1411</v>
      </c>
      <c r="G279" s="2">
        <v>1.5599999999999999E-2</v>
      </c>
      <c r="H279" s="2">
        <v>1.9800000000000002E-2</v>
      </c>
      <c r="I279" s="2">
        <v>7.0000000000000001E-3</v>
      </c>
    </row>
    <row r="280" spans="1:9" x14ac:dyDescent="0.35">
      <c r="A280" s="3">
        <v>0.38679999999999998</v>
      </c>
      <c r="B280" s="2">
        <v>0.68979999999999997</v>
      </c>
      <c r="C280" s="2">
        <v>2.4899999999999999E-2</v>
      </c>
      <c r="D280" s="2">
        <v>0.14929999999999999</v>
      </c>
      <c r="E280" s="2">
        <v>2.2499999999999999E-2</v>
      </c>
      <c r="F280" s="2">
        <v>0.1411</v>
      </c>
      <c r="G280" s="2">
        <v>1.5599999999999999E-2</v>
      </c>
      <c r="H280" s="2">
        <v>1.9800000000000002E-2</v>
      </c>
      <c r="I280" s="2">
        <v>7.0000000000000001E-3</v>
      </c>
    </row>
    <row r="281" spans="1:9" x14ac:dyDescent="0.35">
      <c r="A281" s="3">
        <v>0.38979999999999998</v>
      </c>
      <c r="B281" s="2">
        <v>0.68920000000000003</v>
      </c>
      <c r="C281" s="2">
        <v>2.46E-2</v>
      </c>
      <c r="D281" s="2">
        <v>0.14960000000000001</v>
      </c>
      <c r="E281" s="2">
        <v>2.23E-2</v>
      </c>
      <c r="F281" s="2">
        <v>0.14149999999999999</v>
      </c>
      <c r="G281" s="2">
        <v>1.55E-2</v>
      </c>
      <c r="H281" s="2">
        <v>1.9699999999999999E-2</v>
      </c>
      <c r="I281" s="2">
        <v>6.8999999999999999E-3</v>
      </c>
    </row>
    <row r="282" spans="1:9" x14ac:dyDescent="0.35">
      <c r="A282" s="3">
        <v>0.39</v>
      </c>
      <c r="B282" s="2">
        <v>0.68910000000000005</v>
      </c>
      <c r="C282" s="2">
        <v>2.46E-2</v>
      </c>
      <c r="D282" s="2">
        <v>0.1497</v>
      </c>
      <c r="E282" s="2">
        <v>2.23E-2</v>
      </c>
      <c r="F282" s="2">
        <v>0.14149999999999999</v>
      </c>
      <c r="G282" s="2">
        <v>1.55E-2</v>
      </c>
      <c r="H282" s="2">
        <v>1.9699999999999999E-2</v>
      </c>
      <c r="I282" s="2">
        <v>6.8999999999999999E-3</v>
      </c>
    </row>
    <row r="283" spans="1:9" x14ac:dyDescent="0.35">
      <c r="A283" s="3">
        <v>0.39319999999999999</v>
      </c>
      <c r="B283" s="2">
        <v>0.6885</v>
      </c>
      <c r="C283" s="2">
        <v>2.4400000000000002E-2</v>
      </c>
      <c r="D283" s="2">
        <v>0.15</v>
      </c>
      <c r="E283" s="2">
        <v>2.1999999999999999E-2</v>
      </c>
      <c r="F283" s="2">
        <v>0.14199999999999999</v>
      </c>
      <c r="G283" s="2">
        <v>1.55E-2</v>
      </c>
      <c r="H283" s="2">
        <v>1.9599999999999999E-2</v>
      </c>
      <c r="I283" s="2">
        <v>6.7999999999999996E-3</v>
      </c>
    </row>
    <row r="284" spans="1:9" x14ac:dyDescent="0.35">
      <c r="A284" s="3">
        <v>0.39340000000000003</v>
      </c>
      <c r="B284" s="2">
        <v>0.68840000000000001</v>
      </c>
      <c r="C284" s="2">
        <v>2.4400000000000002E-2</v>
      </c>
      <c r="D284" s="2">
        <v>0.15</v>
      </c>
      <c r="E284" s="2">
        <v>2.1999999999999999E-2</v>
      </c>
      <c r="F284" s="2">
        <v>0.14199999999999999</v>
      </c>
      <c r="G284" s="2">
        <v>1.55E-2</v>
      </c>
      <c r="H284" s="2">
        <v>1.9599999999999999E-2</v>
      </c>
      <c r="I284" s="2">
        <v>6.7999999999999996E-3</v>
      </c>
    </row>
    <row r="285" spans="1:9" x14ac:dyDescent="0.35">
      <c r="A285" s="3">
        <v>0.39660000000000001</v>
      </c>
      <c r="B285" s="2">
        <v>0.68779999999999997</v>
      </c>
      <c r="C285" s="2">
        <v>2.4199999999999999E-2</v>
      </c>
      <c r="D285" s="2">
        <v>0.15040000000000001</v>
      </c>
      <c r="E285" s="2">
        <v>2.18E-2</v>
      </c>
      <c r="F285" s="2">
        <v>0.1424</v>
      </c>
      <c r="G285" s="2">
        <v>1.54E-2</v>
      </c>
      <c r="H285" s="2">
        <v>1.95E-2</v>
      </c>
      <c r="I285" s="2">
        <v>6.7000000000000002E-3</v>
      </c>
    </row>
    <row r="286" spans="1:9" x14ac:dyDescent="0.35">
      <c r="A286" s="3">
        <v>0.39679999999999999</v>
      </c>
      <c r="B286" s="2">
        <v>0.68769999999999998</v>
      </c>
      <c r="C286" s="2">
        <v>2.4199999999999999E-2</v>
      </c>
      <c r="D286" s="2">
        <v>0.15040000000000001</v>
      </c>
      <c r="E286" s="2">
        <v>2.18E-2</v>
      </c>
      <c r="F286" s="2">
        <v>0.1424</v>
      </c>
      <c r="G286" s="2">
        <v>1.54E-2</v>
      </c>
      <c r="H286" s="2">
        <v>1.95E-2</v>
      </c>
      <c r="I286" s="2">
        <v>6.7000000000000002E-3</v>
      </c>
    </row>
    <row r="287" spans="1:9" x14ac:dyDescent="0.35">
      <c r="A287" s="3">
        <v>0.39979999999999999</v>
      </c>
      <c r="B287" s="2">
        <v>0.68710000000000004</v>
      </c>
      <c r="C287" s="2">
        <v>2.4E-2</v>
      </c>
      <c r="D287" s="2">
        <v>0.15079999999999999</v>
      </c>
      <c r="E287" s="2">
        <v>2.1600000000000001E-2</v>
      </c>
      <c r="F287" s="2">
        <v>0.14280000000000001</v>
      </c>
      <c r="G287" s="2">
        <v>1.5299999999999999E-2</v>
      </c>
      <c r="H287" s="2">
        <v>1.9400000000000001E-2</v>
      </c>
      <c r="I287" s="2">
        <v>6.6E-3</v>
      </c>
    </row>
    <row r="288" spans="1:9" x14ac:dyDescent="0.35">
      <c r="A288" s="3">
        <v>0.4</v>
      </c>
      <c r="B288" s="2">
        <v>0.68700000000000006</v>
      </c>
      <c r="C288" s="2">
        <v>2.4E-2</v>
      </c>
      <c r="D288" s="2">
        <v>0.15079999999999999</v>
      </c>
      <c r="E288" s="2">
        <v>2.1600000000000001E-2</v>
      </c>
      <c r="F288" s="2">
        <v>0.14280000000000001</v>
      </c>
      <c r="G288" s="2">
        <v>1.5299999999999999E-2</v>
      </c>
      <c r="H288" s="2">
        <v>1.9400000000000001E-2</v>
      </c>
      <c r="I288" s="2">
        <v>6.6E-3</v>
      </c>
    </row>
    <row r="289" spans="1:9" x14ac:dyDescent="0.35">
      <c r="A289" s="3">
        <v>0.4002</v>
      </c>
      <c r="B289" s="2">
        <v>0.68700000000000006</v>
      </c>
      <c r="C289" s="2">
        <v>2.4E-2</v>
      </c>
      <c r="D289" s="2">
        <v>0.15079999999999999</v>
      </c>
      <c r="E289" s="2">
        <v>2.1600000000000001E-2</v>
      </c>
      <c r="F289" s="2">
        <v>0.14280000000000001</v>
      </c>
      <c r="G289" s="2">
        <v>1.5299999999999999E-2</v>
      </c>
      <c r="H289" s="2">
        <v>1.9400000000000001E-2</v>
      </c>
      <c r="I289" s="2">
        <v>6.4999999999999997E-3</v>
      </c>
    </row>
    <row r="290" spans="1:9" x14ac:dyDescent="0.35">
      <c r="A290" s="3">
        <v>0.41</v>
      </c>
      <c r="B290" s="2">
        <v>0.68489999999999995</v>
      </c>
      <c r="C290" s="2">
        <v>2.3300000000000001E-2</v>
      </c>
      <c r="D290" s="2">
        <v>0.15190000000000001</v>
      </c>
      <c r="E290" s="2">
        <v>2.1000000000000001E-2</v>
      </c>
      <c r="F290" s="2">
        <v>0.14410000000000001</v>
      </c>
      <c r="G290" s="2">
        <v>1.5100000000000001E-2</v>
      </c>
      <c r="H290" s="2">
        <v>1.9099999999999999E-2</v>
      </c>
      <c r="I290" s="2">
        <v>6.1999999999999998E-3</v>
      </c>
    </row>
    <row r="291" spans="1:9" x14ac:dyDescent="0.35">
      <c r="A291" s="3">
        <v>0.41320000000000001</v>
      </c>
      <c r="B291" s="2">
        <v>0.68420000000000003</v>
      </c>
      <c r="C291" s="2">
        <v>2.3099999999999999E-2</v>
      </c>
      <c r="D291" s="2">
        <v>0.15229999999999999</v>
      </c>
      <c r="E291" s="2">
        <v>2.0799999999999999E-2</v>
      </c>
      <c r="F291" s="2">
        <v>0.14449999999999999</v>
      </c>
      <c r="G291" s="2">
        <v>1.4999999999999999E-2</v>
      </c>
      <c r="H291" s="2">
        <v>1.9E-2</v>
      </c>
      <c r="I291" s="2">
        <v>6.1000000000000004E-3</v>
      </c>
    </row>
    <row r="292" spans="1:9" x14ac:dyDescent="0.35">
      <c r="A292" s="3">
        <v>0.41339999999999999</v>
      </c>
      <c r="B292" s="2">
        <v>0.68420000000000003</v>
      </c>
      <c r="C292" s="2">
        <v>2.3099999999999999E-2</v>
      </c>
      <c r="D292" s="2">
        <v>0.15229999999999999</v>
      </c>
      <c r="E292" s="2">
        <v>2.0799999999999999E-2</v>
      </c>
      <c r="F292" s="2">
        <v>0.14449999999999999</v>
      </c>
      <c r="G292" s="2">
        <v>1.4999999999999999E-2</v>
      </c>
      <c r="H292" s="2">
        <v>1.9E-2</v>
      </c>
      <c r="I292" s="2">
        <v>6.1000000000000004E-3</v>
      </c>
    </row>
    <row r="293" spans="1:9" x14ac:dyDescent="0.35">
      <c r="A293" s="3">
        <v>0.41660000000000003</v>
      </c>
      <c r="B293" s="2">
        <v>0.6835</v>
      </c>
      <c r="C293" s="2">
        <v>2.29E-2</v>
      </c>
      <c r="D293" s="2">
        <v>0.1527</v>
      </c>
      <c r="E293" s="2">
        <v>2.06E-2</v>
      </c>
      <c r="F293" s="2">
        <v>0.1449</v>
      </c>
      <c r="G293" s="2">
        <v>1.4999999999999999E-2</v>
      </c>
      <c r="H293" s="2">
        <v>1.89E-2</v>
      </c>
      <c r="I293" s="2">
        <v>6.0000000000000001E-3</v>
      </c>
    </row>
    <row r="294" spans="1:9" x14ac:dyDescent="0.35">
      <c r="A294" s="3">
        <v>0.4234</v>
      </c>
      <c r="B294" s="2">
        <v>0.68210000000000004</v>
      </c>
      <c r="C294" s="2">
        <v>2.2499999999999999E-2</v>
      </c>
      <c r="D294" s="2">
        <v>0.1535</v>
      </c>
      <c r="E294" s="2">
        <v>2.0199999999999999E-2</v>
      </c>
      <c r="F294" s="2">
        <v>0.14580000000000001</v>
      </c>
      <c r="G294" s="2">
        <v>1.4800000000000001E-2</v>
      </c>
      <c r="H294" s="2">
        <v>1.8700000000000001E-2</v>
      </c>
      <c r="I294" s="2">
        <v>5.7999999999999996E-3</v>
      </c>
    </row>
    <row r="295" spans="1:9" x14ac:dyDescent="0.35">
      <c r="A295" s="3">
        <v>0.42659999999999998</v>
      </c>
      <c r="B295" s="2">
        <v>0.68140000000000001</v>
      </c>
      <c r="C295" s="2">
        <v>2.23E-2</v>
      </c>
      <c r="D295" s="2">
        <v>0.15379999999999999</v>
      </c>
      <c r="E295" s="2">
        <v>0.02</v>
      </c>
      <c r="F295" s="2">
        <v>0.1462</v>
      </c>
      <c r="G295" s="2">
        <v>1.4800000000000001E-2</v>
      </c>
      <c r="H295" s="2">
        <v>1.8599999999999998E-2</v>
      </c>
      <c r="I295" s="2">
        <v>5.7000000000000002E-3</v>
      </c>
    </row>
    <row r="296" spans="1:9" x14ac:dyDescent="0.35">
      <c r="A296" s="3">
        <v>0.42680000000000001</v>
      </c>
      <c r="B296" s="2">
        <v>0.68130000000000002</v>
      </c>
      <c r="C296" s="2">
        <v>2.23E-2</v>
      </c>
      <c r="D296" s="2">
        <v>0.15379999999999999</v>
      </c>
      <c r="E296" s="2">
        <v>0.02</v>
      </c>
      <c r="F296" s="2">
        <v>0.1462</v>
      </c>
      <c r="G296" s="2">
        <v>1.4800000000000001E-2</v>
      </c>
      <c r="H296" s="2">
        <v>1.8599999999999998E-2</v>
      </c>
      <c r="I296" s="2">
        <v>5.7000000000000002E-3</v>
      </c>
    </row>
    <row r="297" spans="1:9" x14ac:dyDescent="0.35">
      <c r="A297" s="3">
        <v>0.43340000000000001</v>
      </c>
      <c r="B297" s="2">
        <v>0.67989999999999995</v>
      </c>
      <c r="C297" s="2">
        <v>2.1999999999999999E-2</v>
      </c>
      <c r="D297" s="2">
        <v>0.15459999999999999</v>
      </c>
      <c r="E297" s="2">
        <v>1.9599999999999999E-2</v>
      </c>
      <c r="F297" s="2">
        <v>0.14710000000000001</v>
      </c>
      <c r="G297" s="2">
        <v>1.46E-2</v>
      </c>
      <c r="H297" s="2">
        <v>1.84E-2</v>
      </c>
      <c r="I297" s="2">
        <v>5.5999999999999999E-3</v>
      </c>
    </row>
    <row r="298" spans="1:9" x14ac:dyDescent="0.35">
      <c r="A298" s="3">
        <v>0.44</v>
      </c>
      <c r="B298" s="2">
        <v>0.67849999999999999</v>
      </c>
      <c r="C298" s="2">
        <v>2.1600000000000001E-2</v>
      </c>
      <c r="D298" s="2">
        <v>0.15540000000000001</v>
      </c>
      <c r="E298" s="2">
        <v>1.9300000000000001E-2</v>
      </c>
      <c r="F298" s="2">
        <v>0.1479</v>
      </c>
      <c r="G298" s="2">
        <v>1.4500000000000001E-2</v>
      </c>
      <c r="H298" s="2">
        <v>1.8200000000000001E-2</v>
      </c>
      <c r="I298" s="2">
        <v>5.4000000000000003E-3</v>
      </c>
    </row>
    <row r="299" spans="1:9" x14ac:dyDescent="0.35">
      <c r="A299" s="3">
        <v>0.44019999999999998</v>
      </c>
      <c r="B299" s="2">
        <v>0.67849999999999999</v>
      </c>
      <c r="C299" s="2">
        <v>2.1600000000000001E-2</v>
      </c>
      <c r="D299" s="2">
        <v>0.15540000000000001</v>
      </c>
      <c r="E299" s="2">
        <v>1.9300000000000001E-2</v>
      </c>
      <c r="F299" s="2">
        <v>0.14799999999999999</v>
      </c>
      <c r="G299" s="2">
        <v>1.4500000000000001E-2</v>
      </c>
      <c r="H299" s="2">
        <v>1.8200000000000001E-2</v>
      </c>
      <c r="I299" s="2">
        <v>5.4000000000000003E-3</v>
      </c>
    </row>
    <row r="300" spans="1:9" x14ac:dyDescent="0.35">
      <c r="A300" s="3">
        <v>0.44319999999999998</v>
      </c>
      <c r="B300" s="2">
        <v>0.67779999999999996</v>
      </c>
      <c r="C300" s="2">
        <v>2.1499999999999998E-2</v>
      </c>
      <c r="D300" s="2">
        <v>0.15570000000000001</v>
      </c>
      <c r="E300" s="2">
        <v>1.9099999999999999E-2</v>
      </c>
      <c r="F300" s="2">
        <v>0.1484</v>
      </c>
      <c r="G300" s="2">
        <v>1.4500000000000001E-2</v>
      </c>
      <c r="H300" s="2">
        <v>1.8100000000000002E-2</v>
      </c>
      <c r="I300" s="2">
        <v>5.3E-3</v>
      </c>
    </row>
    <row r="301" spans="1:9" x14ac:dyDescent="0.35">
      <c r="A301" s="3">
        <v>0.44340000000000002</v>
      </c>
      <c r="B301" s="2">
        <v>0.67779999999999996</v>
      </c>
      <c r="C301" s="2">
        <v>2.1399999999999999E-2</v>
      </c>
      <c r="D301" s="2">
        <v>0.15579999999999999</v>
      </c>
      <c r="E301" s="2">
        <v>1.9099999999999999E-2</v>
      </c>
      <c r="F301" s="2">
        <v>0.1484</v>
      </c>
      <c r="G301" s="2">
        <v>1.4500000000000001E-2</v>
      </c>
      <c r="H301" s="2">
        <v>1.8100000000000002E-2</v>
      </c>
      <c r="I301" s="2">
        <v>5.3E-3</v>
      </c>
    </row>
    <row r="302" spans="1:9" x14ac:dyDescent="0.35">
      <c r="A302" s="3">
        <v>0.4466</v>
      </c>
      <c r="B302" s="2">
        <v>0.67710000000000004</v>
      </c>
      <c r="C302" s="2">
        <v>2.1299999999999999E-2</v>
      </c>
      <c r="D302" s="2">
        <v>0.15609999999999999</v>
      </c>
      <c r="E302" s="2">
        <v>1.89E-2</v>
      </c>
      <c r="F302" s="2">
        <v>0.14879999999999999</v>
      </c>
      <c r="G302" s="2">
        <v>1.44E-2</v>
      </c>
      <c r="H302" s="2">
        <v>1.7999999999999999E-2</v>
      </c>
      <c r="I302" s="2">
        <v>5.1999999999999998E-3</v>
      </c>
    </row>
    <row r="303" spans="1:9" x14ac:dyDescent="0.35">
      <c r="A303" s="3">
        <v>0.44679999999999997</v>
      </c>
      <c r="B303" s="2">
        <v>0.67700000000000005</v>
      </c>
      <c r="C303" s="2">
        <v>2.1299999999999999E-2</v>
      </c>
      <c r="D303" s="2">
        <v>0.15609999999999999</v>
      </c>
      <c r="E303" s="2">
        <v>1.89E-2</v>
      </c>
      <c r="F303" s="2">
        <v>0.14879999999999999</v>
      </c>
      <c r="G303" s="2">
        <v>1.44E-2</v>
      </c>
      <c r="H303" s="2">
        <v>1.7999999999999999E-2</v>
      </c>
      <c r="I303" s="2">
        <v>5.1999999999999998E-3</v>
      </c>
    </row>
    <row r="304" spans="1:9" x14ac:dyDescent="0.35">
      <c r="A304" s="3">
        <v>0.45</v>
      </c>
      <c r="B304" s="2">
        <v>0.67630000000000001</v>
      </c>
      <c r="C304" s="2">
        <v>2.1100000000000001E-2</v>
      </c>
      <c r="D304" s="2">
        <v>0.1565</v>
      </c>
      <c r="E304" s="2">
        <v>1.8700000000000001E-2</v>
      </c>
      <c r="F304" s="2">
        <v>0.1492</v>
      </c>
      <c r="G304" s="2">
        <v>1.44E-2</v>
      </c>
      <c r="H304" s="2">
        <v>1.7899999999999999E-2</v>
      </c>
      <c r="I304" s="2">
        <v>5.1999999999999998E-3</v>
      </c>
    </row>
    <row r="305" spans="1:9" x14ac:dyDescent="0.35">
      <c r="A305" s="3">
        <v>0.45019999999999999</v>
      </c>
      <c r="B305" s="2">
        <v>0.67630000000000001</v>
      </c>
      <c r="C305" s="2">
        <v>2.1100000000000001E-2</v>
      </c>
      <c r="D305" s="2">
        <v>0.1565</v>
      </c>
      <c r="E305" s="2">
        <v>1.8700000000000001E-2</v>
      </c>
      <c r="F305" s="2">
        <v>0.14929999999999999</v>
      </c>
      <c r="G305" s="2">
        <v>1.44E-2</v>
      </c>
      <c r="H305" s="2">
        <v>1.7899999999999999E-2</v>
      </c>
      <c r="I305" s="2">
        <v>5.1000000000000004E-3</v>
      </c>
    </row>
    <row r="306" spans="1:9" x14ac:dyDescent="0.35">
      <c r="A306" s="3">
        <v>0.45319999999999999</v>
      </c>
      <c r="B306" s="2">
        <v>0.67559999999999998</v>
      </c>
      <c r="C306" s="2">
        <v>2.1000000000000001E-2</v>
      </c>
      <c r="D306" s="2">
        <v>0.15690000000000001</v>
      </c>
      <c r="E306" s="2">
        <v>1.8599999999999998E-2</v>
      </c>
      <c r="F306" s="2">
        <v>0.1497</v>
      </c>
      <c r="G306" s="2">
        <v>1.43E-2</v>
      </c>
      <c r="H306" s="2">
        <v>1.78E-2</v>
      </c>
      <c r="I306" s="2">
        <v>5.1000000000000004E-3</v>
      </c>
    </row>
    <row r="307" spans="1:9" x14ac:dyDescent="0.35">
      <c r="A307" s="3">
        <v>0.45340000000000003</v>
      </c>
      <c r="B307" s="2">
        <v>0.67559999999999998</v>
      </c>
      <c r="C307" s="2">
        <v>2.1000000000000001E-2</v>
      </c>
      <c r="D307" s="2">
        <v>0.15690000000000001</v>
      </c>
      <c r="E307" s="2">
        <v>1.8599999999999998E-2</v>
      </c>
      <c r="F307" s="2">
        <v>0.1497</v>
      </c>
      <c r="G307" s="2">
        <v>1.43E-2</v>
      </c>
      <c r="H307" s="2">
        <v>1.78E-2</v>
      </c>
      <c r="I307" s="2">
        <v>5.1000000000000004E-3</v>
      </c>
    </row>
    <row r="308" spans="1:9" x14ac:dyDescent="0.35">
      <c r="A308" s="3">
        <v>0.45979999999999999</v>
      </c>
      <c r="B308" s="2">
        <v>0.67420000000000002</v>
      </c>
      <c r="C308" s="2">
        <v>2.07E-2</v>
      </c>
      <c r="D308" s="2">
        <v>0.15770000000000001</v>
      </c>
      <c r="E308" s="2">
        <v>1.83E-2</v>
      </c>
      <c r="F308" s="2">
        <v>0.15049999999999999</v>
      </c>
      <c r="G308" s="2">
        <v>1.43E-2</v>
      </c>
      <c r="H308" s="2">
        <v>1.7600000000000001E-2</v>
      </c>
      <c r="I308" s="2">
        <v>5.0000000000000001E-3</v>
      </c>
    </row>
    <row r="309" spans="1:9" x14ac:dyDescent="0.35">
      <c r="A309" s="3">
        <v>0.46</v>
      </c>
      <c r="B309" s="2">
        <v>0.67410000000000003</v>
      </c>
      <c r="C309" s="2">
        <v>2.07E-2</v>
      </c>
      <c r="D309" s="2">
        <v>0.15770000000000001</v>
      </c>
      <c r="E309" s="2">
        <v>1.83E-2</v>
      </c>
      <c r="F309" s="2">
        <v>0.15049999999999999</v>
      </c>
      <c r="G309" s="2">
        <v>1.43E-2</v>
      </c>
      <c r="H309" s="2">
        <v>1.7600000000000001E-2</v>
      </c>
      <c r="I309" s="2">
        <v>4.8999999999999998E-3</v>
      </c>
    </row>
    <row r="310" spans="1:9" x14ac:dyDescent="0.35">
      <c r="A310" s="3">
        <v>0.46339999999999998</v>
      </c>
      <c r="B310" s="2">
        <v>0.6734</v>
      </c>
      <c r="C310" s="2">
        <v>2.0500000000000001E-2</v>
      </c>
      <c r="D310" s="2">
        <v>0.15809999999999999</v>
      </c>
      <c r="E310" s="2">
        <v>1.8100000000000002E-2</v>
      </c>
      <c r="F310" s="2">
        <v>0.151</v>
      </c>
      <c r="G310" s="2">
        <v>1.4200000000000001E-2</v>
      </c>
      <c r="H310" s="2">
        <v>1.7500000000000002E-2</v>
      </c>
      <c r="I310" s="2">
        <v>4.8999999999999998E-3</v>
      </c>
    </row>
    <row r="311" spans="1:9" x14ac:dyDescent="0.35">
      <c r="A311" s="3">
        <v>0.46660000000000001</v>
      </c>
      <c r="B311" s="2">
        <v>0.67269999999999996</v>
      </c>
      <c r="C311" s="2">
        <v>2.0400000000000001E-2</v>
      </c>
      <c r="D311" s="2">
        <v>0.15840000000000001</v>
      </c>
      <c r="E311" s="2">
        <v>1.7999999999999999E-2</v>
      </c>
      <c r="F311" s="2">
        <v>0.15140000000000001</v>
      </c>
      <c r="G311" s="2">
        <v>1.4200000000000001E-2</v>
      </c>
      <c r="H311" s="2">
        <v>1.7399999999999999E-2</v>
      </c>
      <c r="I311" s="2">
        <v>4.7999999999999996E-3</v>
      </c>
    </row>
    <row r="312" spans="1:9" x14ac:dyDescent="0.35">
      <c r="A312" s="3">
        <v>0.46679999999999999</v>
      </c>
      <c r="B312" s="2">
        <v>0.67269999999999996</v>
      </c>
      <c r="C312" s="2">
        <v>2.0400000000000001E-2</v>
      </c>
      <c r="D312" s="2">
        <v>0.1585</v>
      </c>
      <c r="E312" s="2">
        <v>1.7999999999999999E-2</v>
      </c>
      <c r="F312" s="2">
        <v>0.15140000000000001</v>
      </c>
      <c r="G312" s="2">
        <v>1.4200000000000001E-2</v>
      </c>
      <c r="H312" s="2">
        <v>1.7399999999999999E-2</v>
      </c>
      <c r="I312" s="2">
        <v>4.7999999999999996E-3</v>
      </c>
    </row>
    <row r="313" spans="1:9" x14ac:dyDescent="0.35">
      <c r="A313" s="3">
        <v>0.4698</v>
      </c>
      <c r="B313" s="2">
        <v>0.67200000000000004</v>
      </c>
      <c r="C313" s="2">
        <v>2.0299999999999999E-2</v>
      </c>
      <c r="D313" s="2">
        <v>0.1588</v>
      </c>
      <c r="E313" s="2">
        <v>1.78E-2</v>
      </c>
      <c r="F313" s="2">
        <v>0.15179999999999999</v>
      </c>
      <c r="G313" s="2">
        <v>1.41E-2</v>
      </c>
      <c r="H313" s="2">
        <v>1.7399999999999999E-2</v>
      </c>
      <c r="I313" s="2">
        <v>4.7999999999999996E-3</v>
      </c>
    </row>
    <row r="314" spans="1:9" x14ac:dyDescent="0.35">
      <c r="A314" s="3">
        <v>0.47</v>
      </c>
      <c r="B314" s="2">
        <v>0.67200000000000004</v>
      </c>
      <c r="C314" s="2">
        <v>2.0299999999999999E-2</v>
      </c>
      <c r="D314" s="2">
        <v>0.1588</v>
      </c>
      <c r="E314" s="2">
        <v>1.78E-2</v>
      </c>
      <c r="F314" s="2">
        <v>0.15190000000000001</v>
      </c>
      <c r="G314" s="2">
        <v>1.41E-2</v>
      </c>
      <c r="H314" s="2">
        <v>1.7399999999999999E-2</v>
      </c>
      <c r="I314" s="2">
        <v>4.7999999999999996E-3</v>
      </c>
    </row>
    <row r="315" spans="1:9" x14ac:dyDescent="0.35">
      <c r="A315" s="3">
        <v>0.47660000000000002</v>
      </c>
      <c r="B315" s="2">
        <v>0.67049999999999998</v>
      </c>
      <c r="C315" s="2">
        <v>0.02</v>
      </c>
      <c r="D315" s="2">
        <v>0.15959999999999999</v>
      </c>
      <c r="E315" s="2">
        <v>1.7500000000000002E-2</v>
      </c>
      <c r="F315" s="2">
        <v>0.1527</v>
      </c>
      <c r="G315" s="2">
        <v>1.41E-2</v>
      </c>
      <c r="H315" s="2">
        <v>1.72E-2</v>
      </c>
      <c r="I315" s="2">
        <v>4.7000000000000002E-3</v>
      </c>
    </row>
    <row r="316" spans="1:9" x14ac:dyDescent="0.35">
      <c r="A316" s="3">
        <v>0.4768</v>
      </c>
      <c r="B316" s="2">
        <v>0.6704</v>
      </c>
      <c r="C316" s="2">
        <v>0.02</v>
      </c>
      <c r="D316" s="2">
        <v>0.15959999999999999</v>
      </c>
      <c r="E316" s="2">
        <v>1.7500000000000002E-2</v>
      </c>
      <c r="F316" s="2">
        <v>0.15279999999999999</v>
      </c>
      <c r="G316" s="2">
        <v>1.41E-2</v>
      </c>
      <c r="H316" s="2">
        <v>1.72E-2</v>
      </c>
      <c r="I316" s="2">
        <v>4.7000000000000002E-3</v>
      </c>
    </row>
    <row r="317" spans="1:9" x14ac:dyDescent="0.35">
      <c r="A317" s="3">
        <v>0.48</v>
      </c>
      <c r="B317" s="2">
        <v>0.66969999999999996</v>
      </c>
      <c r="C317" s="2">
        <v>1.9900000000000001E-2</v>
      </c>
      <c r="D317" s="2">
        <v>0.16</v>
      </c>
      <c r="E317" s="2">
        <v>1.7399999999999999E-2</v>
      </c>
      <c r="F317" s="2">
        <v>0.1532</v>
      </c>
      <c r="G317" s="2">
        <v>1.41E-2</v>
      </c>
      <c r="H317" s="2">
        <v>1.7100000000000001E-2</v>
      </c>
      <c r="I317" s="2">
        <v>4.5999999999999999E-3</v>
      </c>
    </row>
    <row r="318" spans="1:9" x14ac:dyDescent="0.35">
      <c r="A318" s="3">
        <v>0.48020000000000002</v>
      </c>
      <c r="B318" s="2">
        <v>0.66969999999999996</v>
      </c>
      <c r="C318" s="2">
        <v>1.9900000000000001E-2</v>
      </c>
      <c r="D318" s="2">
        <v>0.16</v>
      </c>
      <c r="E318" s="2">
        <v>1.7399999999999999E-2</v>
      </c>
      <c r="F318" s="2">
        <v>0.1532</v>
      </c>
      <c r="G318" s="2">
        <v>1.4E-2</v>
      </c>
      <c r="H318" s="2">
        <v>1.7100000000000001E-2</v>
      </c>
      <c r="I318" s="2">
        <v>4.5999999999999999E-3</v>
      </c>
    </row>
    <row r="319" spans="1:9" x14ac:dyDescent="0.35">
      <c r="A319" s="3">
        <v>0.48320000000000002</v>
      </c>
      <c r="B319" s="2">
        <v>0.66900000000000004</v>
      </c>
      <c r="C319" s="2">
        <v>1.9800000000000002E-2</v>
      </c>
      <c r="D319" s="2">
        <v>0.16039999999999999</v>
      </c>
      <c r="E319" s="2">
        <v>1.7299999999999999E-2</v>
      </c>
      <c r="F319" s="2">
        <v>0.15359999999999999</v>
      </c>
      <c r="G319" s="2">
        <v>1.4E-2</v>
      </c>
      <c r="H319" s="2">
        <v>1.7000000000000001E-2</v>
      </c>
      <c r="I319" s="2">
        <v>4.5999999999999999E-3</v>
      </c>
    </row>
    <row r="320" spans="1:9" x14ac:dyDescent="0.35">
      <c r="A320" s="3">
        <v>0.4834</v>
      </c>
      <c r="B320" s="2">
        <v>0.66900000000000004</v>
      </c>
      <c r="C320" s="2">
        <v>1.9800000000000002E-2</v>
      </c>
      <c r="D320" s="2">
        <v>0.16039999999999999</v>
      </c>
      <c r="E320" s="2">
        <v>1.7299999999999999E-2</v>
      </c>
      <c r="F320" s="2">
        <v>0.15359999999999999</v>
      </c>
      <c r="G320" s="2">
        <v>1.4E-2</v>
      </c>
      <c r="H320" s="2">
        <v>1.7000000000000001E-2</v>
      </c>
      <c r="I320" s="2">
        <v>4.5999999999999999E-3</v>
      </c>
    </row>
    <row r="321" spans="1:9" x14ac:dyDescent="0.35">
      <c r="A321" s="3">
        <v>0.49</v>
      </c>
      <c r="B321" s="2">
        <v>0.66749999999999998</v>
      </c>
      <c r="C321" s="2">
        <v>1.9599999999999999E-2</v>
      </c>
      <c r="D321" s="2">
        <v>0.16120000000000001</v>
      </c>
      <c r="E321" s="2">
        <v>1.7100000000000001E-2</v>
      </c>
      <c r="F321" s="2">
        <v>0.1545</v>
      </c>
      <c r="G321" s="2">
        <v>1.4E-2</v>
      </c>
      <c r="H321" s="2">
        <v>1.6799999999999999E-2</v>
      </c>
      <c r="I321" s="2">
        <v>4.4999999999999997E-3</v>
      </c>
    </row>
    <row r="322" spans="1:9" x14ac:dyDescent="0.35">
      <c r="A322" s="3">
        <v>0.49320000000000003</v>
      </c>
      <c r="B322" s="2">
        <v>0.66679999999999995</v>
      </c>
      <c r="C322" s="2">
        <v>1.95E-2</v>
      </c>
      <c r="D322" s="2">
        <v>0.1615</v>
      </c>
      <c r="E322" s="2">
        <v>1.7000000000000001E-2</v>
      </c>
      <c r="F322" s="2">
        <v>0.15490000000000001</v>
      </c>
      <c r="G322" s="2">
        <v>1.4E-2</v>
      </c>
      <c r="H322" s="2">
        <v>1.67E-2</v>
      </c>
      <c r="I322" s="2">
        <v>4.4999999999999997E-3</v>
      </c>
    </row>
    <row r="323" spans="1:9" x14ac:dyDescent="0.35">
      <c r="A323" s="3">
        <v>0.49340000000000001</v>
      </c>
      <c r="B323" s="2">
        <v>0.66679999999999995</v>
      </c>
      <c r="C323" s="2">
        <v>1.95E-2</v>
      </c>
      <c r="D323" s="2">
        <v>0.16159999999999999</v>
      </c>
      <c r="E323" s="2">
        <v>1.7000000000000001E-2</v>
      </c>
      <c r="F323" s="2">
        <v>0.155</v>
      </c>
      <c r="G323" s="2">
        <v>1.4E-2</v>
      </c>
      <c r="H323" s="2">
        <v>1.67E-2</v>
      </c>
      <c r="I323" s="2">
        <v>4.4999999999999997E-3</v>
      </c>
    </row>
    <row r="324" spans="1:9" x14ac:dyDescent="0.35">
      <c r="A324" s="3">
        <v>0.49659999999999999</v>
      </c>
      <c r="B324" s="2">
        <v>0.66600000000000004</v>
      </c>
      <c r="C324" s="2">
        <v>1.9400000000000001E-2</v>
      </c>
      <c r="D324" s="2">
        <v>0.16189999999999999</v>
      </c>
      <c r="E324" s="2">
        <v>1.6899999999999998E-2</v>
      </c>
      <c r="F324" s="2">
        <v>0.15540000000000001</v>
      </c>
      <c r="G324" s="2">
        <v>1.4E-2</v>
      </c>
      <c r="H324" s="2">
        <v>1.66E-2</v>
      </c>
      <c r="I324" s="2">
        <v>4.4000000000000003E-3</v>
      </c>
    </row>
    <row r="325" spans="1:9" x14ac:dyDescent="0.35">
      <c r="A325" s="3">
        <v>0.49680000000000002</v>
      </c>
      <c r="B325" s="2">
        <v>0.66600000000000004</v>
      </c>
      <c r="C325" s="2">
        <v>1.9400000000000001E-2</v>
      </c>
      <c r="D325" s="2">
        <v>0.16200000000000001</v>
      </c>
      <c r="E325" s="2">
        <v>1.6899999999999998E-2</v>
      </c>
      <c r="F325" s="2">
        <v>0.15540000000000001</v>
      </c>
      <c r="G325" s="2">
        <v>1.4E-2</v>
      </c>
      <c r="H325" s="2">
        <v>1.66E-2</v>
      </c>
      <c r="I325" s="2">
        <v>4.4000000000000003E-3</v>
      </c>
    </row>
    <row r="326" spans="1:9" x14ac:dyDescent="0.35">
      <c r="A326" s="3">
        <v>0.5</v>
      </c>
      <c r="B326" s="2">
        <v>0.6653</v>
      </c>
      <c r="C326" s="2">
        <v>1.9400000000000001E-2</v>
      </c>
      <c r="D326" s="2">
        <v>0.1623</v>
      </c>
      <c r="E326" s="2">
        <v>1.6799999999999999E-2</v>
      </c>
      <c r="F326" s="2">
        <v>0.15579999999999999</v>
      </c>
      <c r="G326" s="2">
        <v>1.4E-2</v>
      </c>
      <c r="H326" s="2">
        <v>1.6500000000000001E-2</v>
      </c>
      <c r="I326" s="2">
        <v>4.4000000000000003E-3</v>
      </c>
    </row>
    <row r="327" spans="1:9" x14ac:dyDescent="0.35">
      <c r="A327" s="3">
        <v>0.50660000000000005</v>
      </c>
      <c r="B327" s="2">
        <v>0.66379999999999995</v>
      </c>
      <c r="C327" s="2">
        <v>1.9300000000000001E-2</v>
      </c>
      <c r="D327" s="2">
        <v>0.16309999999999999</v>
      </c>
      <c r="E327" s="2">
        <v>1.66E-2</v>
      </c>
      <c r="F327" s="2">
        <v>0.15670000000000001</v>
      </c>
      <c r="G327" s="2">
        <v>1.3899999999999999E-2</v>
      </c>
      <c r="H327" s="2">
        <v>1.6400000000000001E-2</v>
      </c>
      <c r="I327" s="2">
        <v>4.3E-3</v>
      </c>
    </row>
    <row r="328" spans="1:9" x14ac:dyDescent="0.35">
      <c r="A328" s="3">
        <v>0.50680000000000003</v>
      </c>
      <c r="B328" s="2">
        <v>0.66369999999999996</v>
      </c>
      <c r="C328" s="2">
        <v>1.9199999999999998E-2</v>
      </c>
      <c r="D328" s="2">
        <v>0.16309999999999999</v>
      </c>
      <c r="E328" s="2">
        <v>1.66E-2</v>
      </c>
      <c r="F328" s="2">
        <v>0.15679999999999999</v>
      </c>
      <c r="G328" s="2">
        <v>1.3899999999999999E-2</v>
      </c>
      <c r="H328" s="2">
        <v>1.6400000000000001E-2</v>
      </c>
      <c r="I328" s="2">
        <v>4.3E-3</v>
      </c>
    </row>
    <row r="329" spans="1:9" x14ac:dyDescent="0.35">
      <c r="A329" s="3">
        <v>0.51</v>
      </c>
      <c r="B329" s="2">
        <v>0.66300000000000003</v>
      </c>
      <c r="C329" s="2">
        <v>1.9199999999999998E-2</v>
      </c>
      <c r="D329" s="2">
        <v>0.16350000000000001</v>
      </c>
      <c r="E329" s="2">
        <v>1.6500000000000001E-2</v>
      </c>
      <c r="F329" s="2">
        <v>0.15720000000000001</v>
      </c>
      <c r="G329" s="2">
        <v>1.3899999999999999E-2</v>
      </c>
      <c r="H329" s="2">
        <v>1.6299999999999999E-2</v>
      </c>
      <c r="I329" s="2">
        <v>4.3E-3</v>
      </c>
    </row>
    <row r="330" spans="1:9" x14ac:dyDescent="0.35">
      <c r="A330" s="3">
        <v>0.51659999999999995</v>
      </c>
      <c r="B330" s="2">
        <v>0.66149999999999998</v>
      </c>
      <c r="C330" s="2">
        <v>1.9099999999999999E-2</v>
      </c>
      <c r="D330" s="2">
        <v>0.1643</v>
      </c>
      <c r="E330" s="2">
        <v>1.6400000000000001E-2</v>
      </c>
      <c r="F330" s="2">
        <v>0.15809999999999999</v>
      </c>
      <c r="G330" s="2">
        <v>1.4E-2</v>
      </c>
      <c r="H330" s="2">
        <v>1.61E-2</v>
      </c>
      <c r="I330" s="2">
        <v>4.3E-3</v>
      </c>
    </row>
    <row r="331" spans="1:9" x14ac:dyDescent="0.35">
      <c r="A331" s="3">
        <v>0.51680000000000004</v>
      </c>
      <c r="B331" s="2">
        <v>0.66149999999999998</v>
      </c>
      <c r="C331" s="2">
        <v>1.9099999999999999E-2</v>
      </c>
      <c r="D331" s="2">
        <v>0.1643</v>
      </c>
      <c r="E331" s="2">
        <v>1.6400000000000001E-2</v>
      </c>
      <c r="F331" s="2">
        <v>0.15809999999999999</v>
      </c>
      <c r="G331" s="2">
        <v>1.4E-2</v>
      </c>
      <c r="H331" s="2">
        <v>1.61E-2</v>
      </c>
      <c r="I331" s="2">
        <v>4.3E-3</v>
      </c>
    </row>
    <row r="332" spans="1:9" x14ac:dyDescent="0.35">
      <c r="A332" s="3">
        <v>0.52</v>
      </c>
      <c r="B332" s="2">
        <v>0.66080000000000005</v>
      </c>
      <c r="C332" s="2">
        <v>1.9099999999999999E-2</v>
      </c>
      <c r="D332" s="2">
        <v>0.16470000000000001</v>
      </c>
      <c r="E332" s="2">
        <v>1.6400000000000001E-2</v>
      </c>
      <c r="F332" s="2">
        <v>0.1585</v>
      </c>
      <c r="G332" s="2">
        <v>1.4E-2</v>
      </c>
      <c r="H332" s="2">
        <v>1.6E-2</v>
      </c>
      <c r="I332" s="2">
        <v>4.3E-3</v>
      </c>
    </row>
    <row r="333" spans="1:9" x14ac:dyDescent="0.35">
      <c r="A333" s="3">
        <v>0.5202</v>
      </c>
      <c r="B333" s="2">
        <v>0.66069999999999995</v>
      </c>
      <c r="C333" s="2">
        <v>1.9099999999999999E-2</v>
      </c>
      <c r="D333" s="2">
        <v>0.16470000000000001</v>
      </c>
      <c r="E333" s="2">
        <v>1.6400000000000001E-2</v>
      </c>
      <c r="F333" s="2">
        <v>0.15859999999999999</v>
      </c>
      <c r="G333" s="2">
        <v>1.4E-2</v>
      </c>
      <c r="H333" s="2">
        <v>1.6E-2</v>
      </c>
      <c r="I333" s="2">
        <v>4.3E-3</v>
      </c>
    </row>
    <row r="334" spans="1:9" x14ac:dyDescent="0.35">
      <c r="A334" s="3">
        <v>0.52339999999999998</v>
      </c>
      <c r="B334" s="2">
        <v>0.66</v>
      </c>
      <c r="C334" s="2">
        <v>1.9099999999999999E-2</v>
      </c>
      <c r="D334" s="2">
        <v>0.1651</v>
      </c>
      <c r="E334" s="2">
        <v>1.6299999999999999E-2</v>
      </c>
      <c r="F334" s="2">
        <v>0.159</v>
      </c>
      <c r="G334" s="2">
        <v>1.4E-2</v>
      </c>
      <c r="H334" s="2">
        <v>1.5900000000000001E-2</v>
      </c>
      <c r="I334" s="2">
        <v>4.3E-3</v>
      </c>
    </row>
    <row r="335" spans="1:9" x14ac:dyDescent="0.35">
      <c r="A335" s="3">
        <v>0.52659999999999996</v>
      </c>
      <c r="B335" s="2">
        <v>0.6593</v>
      </c>
      <c r="C335" s="2">
        <v>1.9099999999999999E-2</v>
      </c>
      <c r="D335" s="2">
        <v>0.16550000000000001</v>
      </c>
      <c r="E335" s="2">
        <v>1.6299999999999999E-2</v>
      </c>
      <c r="F335" s="2">
        <v>0.15939999999999999</v>
      </c>
      <c r="G335" s="2">
        <v>1.4E-2</v>
      </c>
      <c r="H335" s="2">
        <v>1.5900000000000001E-2</v>
      </c>
      <c r="I335" s="2">
        <v>4.1999999999999997E-3</v>
      </c>
    </row>
    <row r="336" spans="1:9" x14ac:dyDescent="0.35">
      <c r="A336" s="3">
        <v>0.52680000000000005</v>
      </c>
      <c r="B336" s="2">
        <v>0.65920000000000001</v>
      </c>
      <c r="C336" s="2">
        <v>1.9099999999999999E-2</v>
      </c>
      <c r="D336" s="2">
        <v>0.16550000000000001</v>
      </c>
      <c r="E336" s="2">
        <v>1.6299999999999999E-2</v>
      </c>
      <c r="F336" s="2">
        <v>0.15939999999999999</v>
      </c>
      <c r="G336" s="2">
        <v>1.4E-2</v>
      </c>
      <c r="H336" s="2">
        <v>1.5900000000000001E-2</v>
      </c>
      <c r="I336" s="2">
        <v>4.1999999999999997E-3</v>
      </c>
    </row>
    <row r="337" spans="1:9" x14ac:dyDescent="0.35">
      <c r="A337" s="3">
        <v>0.53</v>
      </c>
      <c r="B337" s="2">
        <v>0.65849999999999997</v>
      </c>
      <c r="C337" s="2">
        <v>1.9099999999999999E-2</v>
      </c>
      <c r="D337" s="2">
        <v>0.16589999999999999</v>
      </c>
      <c r="E337" s="2">
        <v>1.6299999999999999E-2</v>
      </c>
      <c r="F337" s="2">
        <v>0.15989999999999999</v>
      </c>
      <c r="G337" s="2">
        <v>1.4E-2</v>
      </c>
      <c r="H337" s="2">
        <v>1.5800000000000002E-2</v>
      </c>
      <c r="I337" s="2">
        <v>4.1999999999999997E-3</v>
      </c>
    </row>
    <row r="338" spans="1:9" x14ac:dyDescent="0.35">
      <c r="A338" s="3">
        <v>0.53320000000000001</v>
      </c>
      <c r="B338" s="2">
        <v>0.65769999999999995</v>
      </c>
      <c r="C338" s="2">
        <v>1.9099999999999999E-2</v>
      </c>
      <c r="D338" s="2">
        <v>0.16619999999999999</v>
      </c>
      <c r="E338" s="2">
        <v>1.6299999999999999E-2</v>
      </c>
      <c r="F338" s="2">
        <v>0.1603</v>
      </c>
      <c r="G338" s="2">
        <v>1.4E-2</v>
      </c>
      <c r="H338" s="2">
        <v>1.5699999999999999E-2</v>
      </c>
      <c r="I338" s="2">
        <v>4.1999999999999997E-3</v>
      </c>
    </row>
    <row r="339" spans="1:9" x14ac:dyDescent="0.35">
      <c r="A339" s="3">
        <v>0.53339999999999999</v>
      </c>
      <c r="B339" s="2">
        <v>0.65769999999999995</v>
      </c>
      <c r="C339" s="2">
        <v>1.9099999999999999E-2</v>
      </c>
      <c r="D339" s="2">
        <v>0.1663</v>
      </c>
      <c r="E339" s="2">
        <v>1.6299999999999999E-2</v>
      </c>
      <c r="F339" s="2">
        <v>0.1603</v>
      </c>
      <c r="G339" s="2">
        <v>1.4E-2</v>
      </c>
      <c r="H339" s="2">
        <v>1.5699999999999999E-2</v>
      </c>
      <c r="I339" s="2">
        <v>4.1999999999999997E-3</v>
      </c>
    </row>
    <row r="340" spans="1:9" x14ac:dyDescent="0.35">
      <c r="A340" s="3">
        <v>0.53659999999999997</v>
      </c>
      <c r="B340" s="2">
        <v>0.65700000000000003</v>
      </c>
      <c r="C340" s="2">
        <v>1.9099999999999999E-2</v>
      </c>
      <c r="D340" s="2">
        <v>0.1666</v>
      </c>
      <c r="E340" s="2">
        <v>1.6299999999999999E-2</v>
      </c>
      <c r="F340" s="2">
        <v>0.1608</v>
      </c>
      <c r="G340" s="2">
        <v>1.41E-2</v>
      </c>
      <c r="H340" s="2">
        <v>1.5599999999999999E-2</v>
      </c>
      <c r="I340" s="2">
        <v>4.1999999999999997E-3</v>
      </c>
    </row>
    <row r="341" spans="1:9" x14ac:dyDescent="0.35">
      <c r="A341" s="3">
        <v>0.54</v>
      </c>
      <c r="B341" s="2">
        <v>0.65620000000000001</v>
      </c>
      <c r="C341" s="2">
        <v>1.9099999999999999E-2</v>
      </c>
      <c r="D341" s="2">
        <v>0.1671</v>
      </c>
      <c r="E341" s="2">
        <v>1.6299999999999999E-2</v>
      </c>
      <c r="F341" s="2">
        <v>0.16120000000000001</v>
      </c>
      <c r="G341" s="2">
        <v>1.41E-2</v>
      </c>
      <c r="H341" s="2">
        <v>1.55E-2</v>
      </c>
      <c r="I341" s="2">
        <v>4.1999999999999997E-3</v>
      </c>
    </row>
    <row r="342" spans="1:9" x14ac:dyDescent="0.35">
      <c r="A342" s="3">
        <v>0.54320000000000002</v>
      </c>
      <c r="B342" s="2">
        <v>0.65539999999999998</v>
      </c>
      <c r="C342" s="2">
        <v>1.9099999999999999E-2</v>
      </c>
      <c r="D342" s="2">
        <v>0.16739999999999999</v>
      </c>
      <c r="E342" s="2">
        <v>1.6299999999999999E-2</v>
      </c>
      <c r="F342" s="2">
        <v>0.16170000000000001</v>
      </c>
      <c r="G342" s="2">
        <v>1.41E-2</v>
      </c>
      <c r="H342" s="2">
        <v>1.55E-2</v>
      </c>
      <c r="I342" s="2">
        <v>4.1999999999999997E-3</v>
      </c>
    </row>
    <row r="343" spans="1:9" x14ac:dyDescent="0.35">
      <c r="A343" s="3">
        <v>0.54339999999999999</v>
      </c>
      <c r="B343" s="2">
        <v>0.65539999999999998</v>
      </c>
      <c r="C343" s="2">
        <v>1.9099999999999999E-2</v>
      </c>
      <c r="D343" s="2">
        <v>0.16750000000000001</v>
      </c>
      <c r="E343" s="2">
        <v>1.6299999999999999E-2</v>
      </c>
      <c r="F343" s="2">
        <v>0.16170000000000001</v>
      </c>
      <c r="G343" s="2">
        <v>1.41E-2</v>
      </c>
      <c r="H343" s="2">
        <v>1.54E-2</v>
      </c>
      <c r="I343" s="2">
        <v>4.1999999999999997E-3</v>
      </c>
    </row>
    <row r="344" spans="1:9" x14ac:dyDescent="0.35">
      <c r="A344" s="3">
        <v>0.54659999999999997</v>
      </c>
      <c r="B344" s="2">
        <v>0.65469999999999995</v>
      </c>
      <c r="C344" s="2">
        <v>1.9099999999999999E-2</v>
      </c>
      <c r="D344" s="2">
        <v>0.1678</v>
      </c>
      <c r="E344" s="2">
        <v>1.6299999999999999E-2</v>
      </c>
      <c r="F344" s="2">
        <v>0.16209999999999999</v>
      </c>
      <c r="G344" s="2">
        <v>1.4200000000000001E-2</v>
      </c>
      <c r="H344" s="2">
        <v>1.54E-2</v>
      </c>
      <c r="I344" s="2">
        <v>4.1999999999999997E-3</v>
      </c>
    </row>
    <row r="345" spans="1:9" x14ac:dyDescent="0.35">
      <c r="A345" s="3">
        <v>0.54679999999999995</v>
      </c>
      <c r="B345" s="2">
        <v>0.65459999999999996</v>
      </c>
      <c r="C345" s="2">
        <v>1.9199999999999998E-2</v>
      </c>
      <c r="D345" s="2">
        <v>0.16789999999999999</v>
      </c>
      <c r="E345" s="2">
        <v>1.6299999999999999E-2</v>
      </c>
      <c r="F345" s="2">
        <v>0.16220000000000001</v>
      </c>
      <c r="G345" s="2">
        <v>1.4200000000000001E-2</v>
      </c>
      <c r="H345" s="2">
        <v>1.54E-2</v>
      </c>
      <c r="I345" s="2">
        <v>4.1999999999999997E-3</v>
      </c>
    </row>
    <row r="346" spans="1:9" x14ac:dyDescent="0.35">
      <c r="A346" s="3">
        <v>0.55000000000000004</v>
      </c>
      <c r="B346" s="2">
        <v>0.65390000000000004</v>
      </c>
      <c r="C346" s="2">
        <v>1.9199999999999998E-2</v>
      </c>
      <c r="D346" s="2">
        <v>0.16819999999999999</v>
      </c>
      <c r="E346" s="2">
        <v>1.6400000000000001E-2</v>
      </c>
      <c r="F346" s="2">
        <v>0.16259999999999999</v>
      </c>
      <c r="G346" s="2">
        <v>1.4200000000000001E-2</v>
      </c>
      <c r="H346" s="2">
        <v>1.5299999999999999E-2</v>
      </c>
      <c r="I346" s="2">
        <v>4.3E-3</v>
      </c>
    </row>
    <row r="347" spans="1:9" x14ac:dyDescent="0.35">
      <c r="A347" s="3">
        <v>0.55320000000000003</v>
      </c>
      <c r="B347" s="2">
        <v>0.65310000000000001</v>
      </c>
      <c r="C347" s="2">
        <v>1.9199999999999998E-2</v>
      </c>
      <c r="D347" s="2">
        <v>0.1686</v>
      </c>
      <c r="E347" s="2">
        <v>1.6400000000000001E-2</v>
      </c>
      <c r="F347" s="2">
        <v>0.16300000000000001</v>
      </c>
      <c r="G347" s="2">
        <v>1.4200000000000001E-2</v>
      </c>
      <c r="H347" s="2">
        <v>1.52E-2</v>
      </c>
      <c r="I347" s="2">
        <v>4.3E-3</v>
      </c>
    </row>
    <row r="348" spans="1:9" x14ac:dyDescent="0.35">
      <c r="A348" s="3">
        <v>0.56000000000000005</v>
      </c>
      <c r="B348" s="2">
        <v>0.65159999999999996</v>
      </c>
      <c r="C348" s="2">
        <v>1.9400000000000001E-2</v>
      </c>
      <c r="D348" s="2">
        <v>0.1694</v>
      </c>
      <c r="E348" s="2">
        <v>1.6500000000000001E-2</v>
      </c>
      <c r="F348" s="2">
        <v>0.16400000000000001</v>
      </c>
      <c r="G348" s="2">
        <v>1.44E-2</v>
      </c>
      <c r="H348" s="2">
        <v>1.4999999999999999E-2</v>
      </c>
      <c r="I348" s="2">
        <v>4.3E-3</v>
      </c>
    </row>
    <row r="349" spans="1:9" x14ac:dyDescent="0.35">
      <c r="A349" s="3">
        <v>0.56020000000000003</v>
      </c>
      <c r="B349" s="2">
        <v>0.65149999999999997</v>
      </c>
      <c r="C349" s="2">
        <v>1.9400000000000001E-2</v>
      </c>
      <c r="D349" s="2">
        <v>0.16950000000000001</v>
      </c>
      <c r="E349" s="2">
        <v>1.6500000000000001E-2</v>
      </c>
      <c r="F349" s="2">
        <v>0.16400000000000001</v>
      </c>
      <c r="G349" s="2">
        <v>1.44E-2</v>
      </c>
      <c r="H349" s="2">
        <v>1.4999999999999999E-2</v>
      </c>
      <c r="I349" s="2">
        <v>4.3E-3</v>
      </c>
    </row>
    <row r="350" spans="1:9" x14ac:dyDescent="0.35">
      <c r="A350" s="3">
        <v>0.56340000000000001</v>
      </c>
      <c r="B350" s="2">
        <v>0.65080000000000005</v>
      </c>
      <c r="C350" s="2">
        <v>1.9400000000000001E-2</v>
      </c>
      <c r="D350" s="2">
        <v>0.16980000000000001</v>
      </c>
      <c r="E350" s="2">
        <v>1.66E-2</v>
      </c>
      <c r="F350" s="2">
        <v>0.16439999999999999</v>
      </c>
      <c r="G350" s="2">
        <v>1.44E-2</v>
      </c>
      <c r="H350" s="2">
        <v>1.4999999999999999E-2</v>
      </c>
      <c r="I350" s="2">
        <v>4.3E-3</v>
      </c>
    </row>
    <row r="351" spans="1:9" x14ac:dyDescent="0.35">
      <c r="A351" s="3">
        <v>0.56659999999999999</v>
      </c>
      <c r="B351" s="2">
        <v>0.65</v>
      </c>
      <c r="C351" s="2">
        <v>1.95E-2</v>
      </c>
      <c r="D351" s="2">
        <v>0.17019999999999999</v>
      </c>
      <c r="E351" s="2">
        <v>1.66E-2</v>
      </c>
      <c r="F351" s="2">
        <v>0.16489999999999999</v>
      </c>
      <c r="G351" s="2">
        <v>1.4500000000000001E-2</v>
      </c>
      <c r="H351" s="2">
        <v>1.49E-2</v>
      </c>
      <c r="I351" s="2">
        <v>4.3E-3</v>
      </c>
    </row>
    <row r="352" spans="1:9" x14ac:dyDescent="0.35">
      <c r="A352" s="3">
        <v>0.56679999999999997</v>
      </c>
      <c r="B352" s="2">
        <v>0.65</v>
      </c>
      <c r="C352" s="2">
        <v>1.95E-2</v>
      </c>
      <c r="D352" s="2">
        <v>0.17019999999999999</v>
      </c>
      <c r="E352" s="2">
        <v>1.66E-2</v>
      </c>
      <c r="F352" s="2">
        <v>0.16489999999999999</v>
      </c>
      <c r="G352" s="2">
        <v>1.4500000000000001E-2</v>
      </c>
      <c r="H352" s="2">
        <v>1.49E-2</v>
      </c>
      <c r="I352" s="2">
        <v>4.3E-3</v>
      </c>
    </row>
    <row r="353" spans="1:9" x14ac:dyDescent="0.35">
      <c r="A353" s="3">
        <v>0.56999999999999995</v>
      </c>
      <c r="B353" s="2">
        <v>0.6492</v>
      </c>
      <c r="C353" s="2">
        <v>1.9599999999999999E-2</v>
      </c>
      <c r="D353" s="2">
        <v>0.1706</v>
      </c>
      <c r="E353" s="2">
        <v>1.67E-2</v>
      </c>
      <c r="F353" s="2">
        <v>0.1653</v>
      </c>
      <c r="G353" s="2">
        <v>1.4500000000000001E-2</v>
      </c>
      <c r="H353" s="2">
        <v>1.4800000000000001E-2</v>
      </c>
      <c r="I353" s="2">
        <v>4.3E-3</v>
      </c>
    </row>
    <row r="354" spans="1:9" x14ac:dyDescent="0.35">
      <c r="A354" s="3">
        <v>0.57320000000000004</v>
      </c>
      <c r="B354" s="2">
        <v>0.64849999999999997</v>
      </c>
      <c r="C354" s="2">
        <v>1.9699999999999999E-2</v>
      </c>
      <c r="D354" s="2">
        <v>0.17100000000000001</v>
      </c>
      <c r="E354" s="2">
        <v>1.6799999999999999E-2</v>
      </c>
      <c r="F354" s="2">
        <v>0.1658</v>
      </c>
      <c r="G354" s="2">
        <v>1.46E-2</v>
      </c>
      <c r="H354" s="2">
        <v>1.47E-2</v>
      </c>
      <c r="I354" s="2">
        <v>4.4000000000000003E-3</v>
      </c>
    </row>
    <row r="355" spans="1:9" x14ac:dyDescent="0.35">
      <c r="A355" s="3">
        <v>0.57340000000000002</v>
      </c>
      <c r="B355" s="2">
        <v>0.64839999999999998</v>
      </c>
      <c r="C355" s="2">
        <v>1.9699999999999999E-2</v>
      </c>
      <c r="D355" s="2">
        <v>0.17100000000000001</v>
      </c>
      <c r="E355" s="2">
        <v>1.6799999999999999E-2</v>
      </c>
      <c r="F355" s="2">
        <v>0.1658</v>
      </c>
      <c r="G355" s="2">
        <v>1.46E-2</v>
      </c>
      <c r="H355" s="2">
        <v>1.47E-2</v>
      </c>
      <c r="I355" s="2">
        <v>4.4000000000000003E-3</v>
      </c>
    </row>
    <row r="356" spans="1:9" x14ac:dyDescent="0.35">
      <c r="A356" s="3">
        <v>0.5766</v>
      </c>
      <c r="B356" s="2">
        <v>0.64770000000000005</v>
      </c>
      <c r="C356" s="2">
        <v>1.9800000000000002E-2</v>
      </c>
      <c r="D356" s="2">
        <v>0.1714</v>
      </c>
      <c r="E356" s="2">
        <v>1.6899999999999998E-2</v>
      </c>
      <c r="F356" s="2">
        <v>0.1663</v>
      </c>
      <c r="G356" s="2">
        <v>1.47E-2</v>
      </c>
      <c r="H356" s="2">
        <v>1.46E-2</v>
      </c>
      <c r="I356" s="2">
        <v>4.4000000000000003E-3</v>
      </c>
    </row>
    <row r="357" spans="1:9" x14ac:dyDescent="0.35">
      <c r="A357" s="3">
        <v>0.57679999999999998</v>
      </c>
      <c r="B357" s="2">
        <v>0.64759999999999995</v>
      </c>
      <c r="C357" s="2">
        <v>1.9800000000000002E-2</v>
      </c>
      <c r="D357" s="2">
        <v>0.1714</v>
      </c>
      <c r="E357" s="2">
        <v>1.6899999999999998E-2</v>
      </c>
      <c r="F357" s="2">
        <v>0.1663</v>
      </c>
      <c r="G357" s="2">
        <v>1.47E-2</v>
      </c>
      <c r="H357" s="2">
        <v>1.46E-2</v>
      </c>
      <c r="I357" s="2">
        <v>4.4000000000000003E-3</v>
      </c>
    </row>
    <row r="358" spans="1:9" x14ac:dyDescent="0.35">
      <c r="A358" s="3">
        <v>0.57999999999999996</v>
      </c>
      <c r="B358" s="2">
        <v>0.64690000000000003</v>
      </c>
      <c r="C358" s="2">
        <v>1.9900000000000001E-2</v>
      </c>
      <c r="D358" s="2">
        <v>0.17180000000000001</v>
      </c>
      <c r="E358" s="2">
        <v>1.7000000000000001E-2</v>
      </c>
      <c r="F358" s="2">
        <v>0.16669999999999999</v>
      </c>
      <c r="G358" s="2">
        <v>1.47E-2</v>
      </c>
      <c r="H358" s="2">
        <v>1.46E-2</v>
      </c>
      <c r="I358" s="2">
        <v>4.4000000000000003E-3</v>
      </c>
    </row>
    <row r="359" spans="1:9" x14ac:dyDescent="0.35">
      <c r="A359" s="3">
        <v>0.58020000000000005</v>
      </c>
      <c r="B359" s="2">
        <v>0.64680000000000004</v>
      </c>
      <c r="C359" s="2">
        <v>1.9900000000000001E-2</v>
      </c>
      <c r="D359" s="2">
        <v>0.17180000000000001</v>
      </c>
      <c r="E359" s="2">
        <v>1.7000000000000001E-2</v>
      </c>
      <c r="F359" s="2">
        <v>0.1668</v>
      </c>
      <c r="G359" s="2">
        <v>1.47E-2</v>
      </c>
      <c r="H359" s="2">
        <v>1.46E-2</v>
      </c>
      <c r="I359" s="2">
        <v>4.4000000000000003E-3</v>
      </c>
    </row>
    <row r="360" spans="1:9" x14ac:dyDescent="0.35">
      <c r="A360" s="3">
        <v>0.58320000000000005</v>
      </c>
      <c r="B360" s="2">
        <v>0.64610000000000001</v>
      </c>
      <c r="C360" s="2">
        <v>2.01E-2</v>
      </c>
      <c r="D360" s="2">
        <v>0.17219999999999999</v>
      </c>
      <c r="E360" s="2">
        <v>1.72E-2</v>
      </c>
      <c r="F360" s="2">
        <v>0.16719999999999999</v>
      </c>
      <c r="G360" s="2">
        <v>1.4800000000000001E-2</v>
      </c>
      <c r="H360" s="2">
        <v>1.4500000000000001E-2</v>
      </c>
      <c r="I360" s="2">
        <v>4.4000000000000003E-3</v>
      </c>
    </row>
    <row r="361" spans="1:9" x14ac:dyDescent="0.35">
      <c r="A361" s="3">
        <v>0.58340000000000003</v>
      </c>
      <c r="B361" s="2">
        <v>0.64610000000000001</v>
      </c>
      <c r="C361" s="2">
        <v>2.01E-2</v>
      </c>
      <c r="D361" s="2">
        <v>0.17219999999999999</v>
      </c>
      <c r="E361" s="2">
        <v>1.72E-2</v>
      </c>
      <c r="F361" s="2">
        <v>0.16719999999999999</v>
      </c>
      <c r="G361" s="2">
        <v>1.4800000000000001E-2</v>
      </c>
      <c r="H361" s="2">
        <v>1.4500000000000001E-2</v>
      </c>
      <c r="I361" s="2">
        <v>4.4000000000000003E-3</v>
      </c>
    </row>
    <row r="362" spans="1:9" x14ac:dyDescent="0.35">
      <c r="A362" s="3">
        <v>0.58660000000000001</v>
      </c>
      <c r="B362" s="2">
        <v>0.64529999999999998</v>
      </c>
      <c r="C362" s="2">
        <v>2.0199999999999999E-2</v>
      </c>
      <c r="D362" s="2">
        <v>0.1726</v>
      </c>
      <c r="E362" s="2">
        <v>1.7299999999999999E-2</v>
      </c>
      <c r="F362" s="2">
        <v>0.1676</v>
      </c>
      <c r="G362" s="2">
        <v>1.49E-2</v>
      </c>
      <c r="H362" s="2">
        <v>1.44E-2</v>
      </c>
      <c r="I362" s="2">
        <v>4.4000000000000003E-3</v>
      </c>
    </row>
    <row r="363" spans="1:9" x14ac:dyDescent="0.35">
      <c r="A363" s="3">
        <v>0.58679999999999999</v>
      </c>
      <c r="B363" s="2">
        <v>0.64529999999999998</v>
      </c>
      <c r="C363" s="2">
        <v>2.0199999999999999E-2</v>
      </c>
      <c r="D363" s="2">
        <v>0.1726</v>
      </c>
      <c r="E363" s="2">
        <v>1.7299999999999999E-2</v>
      </c>
      <c r="F363" s="2">
        <v>0.16769999999999999</v>
      </c>
      <c r="G363" s="2">
        <v>1.49E-2</v>
      </c>
      <c r="H363" s="2">
        <v>1.44E-2</v>
      </c>
      <c r="I363" s="2">
        <v>4.4000000000000003E-3</v>
      </c>
    </row>
    <row r="364" spans="1:9" x14ac:dyDescent="0.35">
      <c r="A364" s="3">
        <v>0.59319999999999995</v>
      </c>
      <c r="B364" s="2">
        <v>0.64380000000000004</v>
      </c>
      <c r="C364" s="2">
        <v>2.0500000000000001E-2</v>
      </c>
      <c r="D364" s="2">
        <v>0.1734</v>
      </c>
      <c r="E364" s="2">
        <v>1.7600000000000001E-2</v>
      </c>
      <c r="F364" s="2">
        <v>0.1686</v>
      </c>
      <c r="G364" s="2">
        <v>1.5100000000000001E-2</v>
      </c>
      <c r="H364" s="2">
        <v>1.43E-2</v>
      </c>
      <c r="I364" s="2">
        <v>4.4999999999999997E-3</v>
      </c>
    </row>
    <row r="365" spans="1:9" x14ac:dyDescent="0.35">
      <c r="A365" s="3">
        <v>0.59340000000000004</v>
      </c>
      <c r="B365" s="2">
        <v>0.64370000000000005</v>
      </c>
      <c r="C365" s="2">
        <v>2.0500000000000001E-2</v>
      </c>
      <c r="D365" s="2">
        <v>0.1734</v>
      </c>
      <c r="E365" s="2">
        <v>1.7600000000000001E-2</v>
      </c>
      <c r="F365" s="2">
        <v>0.1686</v>
      </c>
      <c r="G365" s="2">
        <v>1.5100000000000001E-2</v>
      </c>
      <c r="H365" s="2">
        <v>1.43E-2</v>
      </c>
      <c r="I365" s="2">
        <v>4.4999999999999997E-3</v>
      </c>
    </row>
    <row r="366" spans="1:9" x14ac:dyDescent="0.35">
      <c r="A366" s="3">
        <v>0.59660000000000002</v>
      </c>
      <c r="B366" s="2">
        <v>0.64300000000000002</v>
      </c>
      <c r="C366" s="2">
        <v>2.06E-2</v>
      </c>
      <c r="D366" s="2">
        <v>0.17380000000000001</v>
      </c>
      <c r="E366" s="2">
        <v>1.77E-2</v>
      </c>
      <c r="F366" s="2">
        <v>0.16900000000000001</v>
      </c>
      <c r="G366" s="2">
        <v>1.52E-2</v>
      </c>
      <c r="H366" s="2">
        <v>1.4200000000000001E-2</v>
      </c>
      <c r="I366" s="2">
        <v>4.4999999999999997E-3</v>
      </c>
    </row>
    <row r="367" spans="1:9" x14ac:dyDescent="0.35">
      <c r="A367" s="3">
        <v>0.5968</v>
      </c>
      <c r="B367" s="2">
        <v>0.64290000000000003</v>
      </c>
      <c r="C367" s="2">
        <v>2.06E-2</v>
      </c>
      <c r="D367" s="2">
        <v>0.17380000000000001</v>
      </c>
      <c r="E367" s="2">
        <v>1.77E-2</v>
      </c>
      <c r="F367" s="2">
        <v>0.1691</v>
      </c>
      <c r="G367" s="2">
        <v>1.52E-2</v>
      </c>
      <c r="H367" s="2">
        <v>1.4200000000000001E-2</v>
      </c>
      <c r="I367" s="2">
        <v>4.4999999999999997E-3</v>
      </c>
    </row>
    <row r="368" spans="1:9" x14ac:dyDescent="0.35">
      <c r="A368" s="3">
        <v>0.5998</v>
      </c>
      <c r="B368" s="2">
        <v>0.64219999999999999</v>
      </c>
      <c r="C368" s="2">
        <v>2.0799999999999999E-2</v>
      </c>
      <c r="D368" s="2">
        <v>0.17419999999999999</v>
      </c>
      <c r="E368" s="2">
        <v>1.7899999999999999E-2</v>
      </c>
      <c r="F368" s="2">
        <v>0.16950000000000001</v>
      </c>
      <c r="G368" s="2">
        <v>1.5299999999999999E-2</v>
      </c>
      <c r="H368" s="2">
        <v>1.41E-2</v>
      </c>
      <c r="I368" s="2">
        <v>4.5999999999999999E-3</v>
      </c>
    </row>
    <row r="369" spans="1:9" x14ac:dyDescent="0.35">
      <c r="A369" s="3">
        <v>0.6</v>
      </c>
      <c r="B369" s="2">
        <v>0.64219999999999999</v>
      </c>
      <c r="C369" s="2">
        <v>2.0799999999999999E-2</v>
      </c>
      <c r="D369" s="2">
        <v>0.17419999999999999</v>
      </c>
      <c r="E369" s="2">
        <v>1.7899999999999999E-2</v>
      </c>
      <c r="F369" s="2">
        <v>0.16950000000000001</v>
      </c>
      <c r="G369" s="2">
        <v>1.5299999999999999E-2</v>
      </c>
      <c r="H369" s="2">
        <v>1.41E-2</v>
      </c>
      <c r="I369" s="2">
        <v>4.5999999999999999E-3</v>
      </c>
    </row>
    <row r="370" spans="1:9" x14ac:dyDescent="0.35">
      <c r="A370" s="3">
        <v>0.60019999999999996</v>
      </c>
      <c r="B370" s="2">
        <v>0.6421</v>
      </c>
      <c r="C370" s="2">
        <v>2.0799999999999999E-2</v>
      </c>
      <c r="D370" s="2">
        <v>0.17419999999999999</v>
      </c>
      <c r="E370" s="2">
        <v>1.7899999999999999E-2</v>
      </c>
      <c r="F370" s="2">
        <v>0.16950000000000001</v>
      </c>
      <c r="G370" s="2">
        <v>1.5299999999999999E-2</v>
      </c>
      <c r="H370" s="2">
        <v>1.41E-2</v>
      </c>
      <c r="I370" s="2">
        <v>4.5999999999999999E-3</v>
      </c>
    </row>
    <row r="371" spans="1:9" x14ac:dyDescent="0.35">
      <c r="A371" s="3">
        <v>0.60319999999999996</v>
      </c>
      <c r="B371" s="2">
        <v>0.64139999999999997</v>
      </c>
      <c r="C371" s="2">
        <v>2.0899999999999998E-2</v>
      </c>
      <c r="D371" s="2">
        <v>0.17460000000000001</v>
      </c>
      <c r="E371" s="2">
        <v>1.8100000000000002E-2</v>
      </c>
      <c r="F371" s="2">
        <v>0.17</v>
      </c>
      <c r="G371" s="2">
        <v>1.54E-2</v>
      </c>
      <c r="H371" s="2">
        <v>1.4E-2</v>
      </c>
      <c r="I371" s="2">
        <v>4.5999999999999999E-3</v>
      </c>
    </row>
    <row r="372" spans="1:9" x14ac:dyDescent="0.35">
      <c r="A372" s="3">
        <v>0.60340000000000005</v>
      </c>
      <c r="B372" s="2">
        <v>0.64139999999999997</v>
      </c>
      <c r="C372" s="2">
        <v>2.1000000000000001E-2</v>
      </c>
      <c r="D372" s="2">
        <v>0.17460000000000001</v>
      </c>
      <c r="E372" s="2">
        <v>1.8100000000000002E-2</v>
      </c>
      <c r="F372" s="2">
        <v>0.17</v>
      </c>
      <c r="G372" s="2">
        <v>1.54E-2</v>
      </c>
      <c r="H372" s="2">
        <v>1.4E-2</v>
      </c>
      <c r="I372" s="2">
        <v>4.5999999999999999E-3</v>
      </c>
    </row>
    <row r="373" spans="1:9" x14ac:dyDescent="0.35">
      <c r="A373" s="3">
        <v>0.60680000000000001</v>
      </c>
      <c r="B373" s="2">
        <v>0.64049999999999996</v>
      </c>
      <c r="C373" s="2">
        <v>2.1100000000000001E-2</v>
      </c>
      <c r="D373" s="2">
        <v>0.17499999999999999</v>
      </c>
      <c r="E373" s="2">
        <v>1.8200000000000001E-2</v>
      </c>
      <c r="F373" s="2">
        <v>0.17050000000000001</v>
      </c>
      <c r="G373" s="2">
        <v>1.55E-2</v>
      </c>
      <c r="H373" s="2">
        <v>1.3899999999999999E-2</v>
      </c>
      <c r="I373" s="2">
        <v>4.5999999999999999E-3</v>
      </c>
    </row>
    <row r="374" spans="1:9" x14ac:dyDescent="0.35">
      <c r="A374" s="3">
        <v>0.61</v>
      </c>
      <c r="B374" s="2">
        <v>0.63980000000000004</v>
      </c>
      <c r="C374" s="2">
        <v>2.1299999999999999E-2</v>
      </c>
      <c r="D374" s="2">
        <v>0.1754</v>
      </c>
      <c r="E374" s="2">
        <v>1.84E-2</v>
      </c>
      <c r="F374" s="2">
        <v>0.1709</v>
      </c>
      <c r="G374" s="2">
        <v>1.5599999999999999E-2</v>
      </c>
      <c r="H374" s="2">
        <v>1.3899999999999999E-2</v>
      </c>
      <c r="I374" s="2">
        <v>4.5999999999999999E-3</v>
      </c>
    </row>
    <row r="375" spans="1:9" x14ac:dyDescent="0.35">
      <c r="A375" s="3">
        <v>0.61019999999999996</v>
      </c>
      <c r="B375" s="2">
        <v>0.63970000000000005</v>
      </c>
      <c r="C375" s="2">
        <v>2.1299999999999999E-2</v>
      </c>
      <c r="D375" s="2">
        <v>0.1754</v>
      </c>
      <c r="E375" s="2">
        <v>1.84E-2</v>
      </c>
      <c r="F375" s="2">
        <v>0.1709</v>
      </c>
      <c r="G375" s="2">
        <v>1.5599999999999999E-2</v>
      </c>
      <c r="H375" s="2">
        <v>1.3899999999999999E-2</v>
      </c>
      <c r="I375" s="2">
        <v>4.5999999999999999E-3</v>
      </c>
    </row>
    <row r="376" spans="1:9" x14ac:dyDescent="0.35">
      <c r="A376" s="3">
        <v>0.61319999999999997</v>
      </c>
      <c r="B376" s="2">
        <v>0.63900000000000001</v>
      </c>
      <c r="C376" s="2">
        <v>2.1499999999999998E-2</v>
      </c>
      <c r="D376" s="2">
        <v>0.17580000000000001</v>
      </c>
      <c r="E376" s="2">
        <v>1.8599999999999998E-2</v>
      </c>
      <c r="F376" s="2">
        <v>0.1714</v>
      </c>
      <c r="G376" s="2">
        <v>1.5699999999999999E-2</v>
      </c>
      <c r="H376" s="2">
        <v>1.38E-2</v>
      </c>
      <c r="I376" s="2">
        <v>4.7000000000000002E-3</v>
      </c>
    </row>
    <row r="377" spans="1:9" x14ac:dyDescent="0.35">
      <c r="A377" s="3">
        <v>0.61339999999999995</v>
      </c>
      <c r="B377" s="2">
        <v>0.63900000000000001</v>
      </c>
      <c r="C377" s="2">
        <v>2.1499999999999998E-2</v>
      </c>
      <c r="D377" s="2">
        <v>0.17580000000000001</v>
      </c>
      <c r="E377" s="2">
        <v>1.8599999999999998E-2</v>
      </c>
      <c r="F377" s="2">
        <v>0.1714</v>
      </c>
      <c r="G377" s="2">
        <v>1.5699999999999999E-2</v>
      </c>
      <c r="H377" s="2">
        <v>1.38E-2</v>
      </c>
      <c r="I377" s="2">
        <v>4.7000000000000002E-3</v>
      </c>
    </row>
    <row r="378" spans="1:9" x14ac:dyDescent="0.35">
      <c r="A378" s="3">
        <v>0.61660000000000004</v>
      </c>
      <c r="B378" s="2">
        <v>0.63819999999999999</v>
      </c>
      <c r="C378" s="2">
        <v>2.1700000000000001E-2</v>
      </c>
      <c r="D378" s="2">
        <v>0.1762</v>
      </c>
      <c r="E378" s="2">
        <v>1.8800000000000001E-2</v>
      </c>
      <c r="F378" s="2">
        <v>0.17180000000000001</v>
      </c>
      <c r="G378" s="2">
        <v>1.5800000000000002E-2</v>
      </c>
      <c r="H378" s="2">
        <v>1.37E-2</v>
      </c>
      <c r="I378" s="2">
        <v>4.7000000000000002E-3</v>
      </c>
    </row>
    <row r="379" spans="1:9" x14ac:dyDescent="0.35">
      <c r="A379" s="3">
        <v>0.61680000000000001</v>
      </c>
      <c r="B379" s="2">
        <v>0.63819999999999999</v>
      </c>
      <c r="C379" s="2">
        <v>2.1700000000000001E-2</v>
      </c>
      <c r="D379" s="2">
        <v>0.1762</v>
      </c>
      <c r="E379" s="2">
        <v>1.8800000000000001E-2</v>
      </c>
      <c r="F379" s="2">
        <v>0.1719</v>
      </c>
      <c r="G379" s="2">
        <v>1.5800000000000002E-2</v>
      </c>
      <c r="H379" s="2">
        <v>1.37E-2</v>
      </c>
      <c r="I379" s="2">
        <v>4.7000000000000002E-3</v>
      </c>
    </row>
    <row r="380" spans="1:9" x14ac:dyDescent="0.35">
      <c r="A380" s="3">
        <v>0.62</v>
      </c>
      <c r="B380" s="2">
        <v>0.63739999999999997</v>
      </c>
      <c r="C380" s="2">
        <v>2.1899999999999999E-2</v>
      </c>
      <c r="D380" s="2">
        <v>0.17660000000000001</v>
      </c>
      <c r="E380" s="2">
        <v>1.9E-2</v>
      </c>
      <c r="F380" s="2">
        <v>0.17230000000000001</v>
      </c>
      <c r="G380" s="2">
        <v>1.5900000000000001E-2</v>
      </c>
      <c r="H380" s="2">
        <v>1.37E-2</v>
      </c>
      <c r="I380" s="2">
        <v>4.7000000000000002E-3</v>
      </c>
    </row>
    <row r="381" spans="1:9" x14ac:dyDescent="0.35">
      <c r="A381" s="3">
        <v>0.62019999999999997</v>
      </c>
      <c r="B381" s="2">
        <v>0.63729999999999998</v>
      </c>
      <c r="C381" s="2">
        <v>2.1899999999999999E-2</v>
      </c>
      <c r="D381" s="2">
        <v>0.1767</v>
      </c>
      <c r="E381" s="2">
        <v>1.9E-2</v>
      </c>
      <c r="F381" s="2">
        <v>0.1724</v>
      </c>
      <c r="G381" s="2">
        <v>1.5900000000000001E-2</v>
      </c>
      <c r="H381" s="2">
        <v>1.3599999999999999E-2</v>
      </c>
      <c r="I381" s="2">
        <v>4.7000000000000002E-3</v>
      </c>
    </row>
    <row r="382" spans="1:9" x14ac:dyDescent="0.35">
      <c r="A382" s="3">
        <v>0.62339999999999995</v>
      </c>
      <c r="B382" s="2">
        <v>0.63660000000000005</v>
      </c>
      <c r="C382" s="2">
        <v>2.2100000000000002E-2</v>
      </c>
      <c r="D382" s="2">
        <v>0.17699999999999999</v>
      </c>
      <c r="E382" s="2">
        <v>1.9300000000000001E-2</v>
      </c>
      <c r="F382" s="2">
        <v>0.17280000000000001</v>
      </c>
      <c r="G382" s="2">
        <v>1.6E-2</v>
      </c>
      <c r="H382" s="2">
        <v>1.3599999999999999E-2</v>
      </c>
      <c r="I382" s="2">
        <v>4.7999999999999996E-3</v>
      </c>
    </row>
    <row r="383" spans="1:9" x14ac:dyDescent="0.35">
      <c r="A383" s="3">
        <v>0.62660000000000005</v>
      </c>
      <c r="B383" s="2">
        <v>0.63580000000000003</v>
      </c>
      <c r="C383" s="2">
        <v>2.23E-2</v>
      </c>
      <c r="D383" s="2">
        <v>0.1774</v>
      </c>
      <c r="E383" s="2">
        <v>1.95E-2</v>
      </c>
      <c r="F383" s="2">
        <v>0.17330000000000001</v>
      </c>
      <c r="G383" s="2">
        <v>1.6199999999999999E-2</v>
      </c>
      <c r="H383" s="2">
        <v>1.35E-2</v>
      </c>
      <c r="I383" s="2">
        <v>4.7999999999999996E-3</v>
      </c>
    </row>
    <row r="384" spans="1:9" x14ac:dyDescent="0.35">
      <c r="A384" s="3">
        <v>0.62680000000000002</v>
      </c>
      <c r="B384" s="2">
        <v>0.63580000000000003</v>
      </c>
      <c r="C384" s="2">
        <v>2.23E-2</v>
      </c>
      <c r="D384" s="2">
        <v>0.1774</v>
      </c>
      <c r="E384" s="2">
        <v>1.95E-2</v>
      </c>
      <c r="F384" s="2">
        <v>0.17330000000000001</v>
      </c>
      <c r="G384" s="2">
        <v>1.6199999999999999E-2</v>
      </c>
      <c r="H384" s="2">
        <v>1.35E-2</v>
      </c>
      <c r="I384" s="2">
        <v>4.7999999999999996E-3</v>
      </c>
    </row>
    <row r="385" spans="1:9" x14ac:dyDescent="0.35">
      <c r="A385" s="3">
        <v>0.63</v>
      </c>
      <c r="B385" s="2">
        <v>0.63500000000000001</v>
      </c>
      <c r="C385" s="2">
        <v>2.2499999999999999E-2</v>
      </c>
      <c r="D385" s="2">
        <v>0.17780000000000001</v>
      </c>
      <c r="E385" s="2">
        <v>1.9699999999999999E-2</v>
      </c>
      <c r="F385" s="2">
        <v>0.17369999999999999</v>
      </c>
      <c r="G385" s="2">
        <v>1.6299999999999999E-2</v>
      </c>
      <c r="H385" s="2">
        <v>1.34E-2</v>
      </c>
      <c r="I385" s="2">
        <v>4.7999999999999996E-3</v>
      </c>
    </row>
    <row r="386" spans="1:9" x14ac:dyDescent="0.35">
      <c r="A386" s="3">
        <v>0.63319999999999999</v>
      </c>
      <c r="B386" s="2">
        <v>0.63419999999999999</v>
      </c>
      <c r="C386" s="2">
        <v>2.2700000000000001E-2</v>
      </c>
      <c r="D386" s="2">
        <v>0.1782</v>
      </c>
      <c r="E386" s="2">
        <v>1.9900000000000001E-2</v>
      </c>
      <c r="F386" s="2">
        <v>0.17419999999999999</v>
      </c>
      <c r="G386" s="2">
        <v>1.6400000000000001E-2</v>
      </c>
      <c r="H386" s="2">
        <v>1.34E-2</v>
      </c>
      <c r="I386" s="2">
        <v>4.8999999999999998E-3</v>
      </c>
    </row>
    <row r="387" spans="1:9" x14ac:dyDescent="0.35">
      <c r="A387" s="3">
        <v>0.63339999999999996</v>
      </c>
      <c r="B387" s="2">
        <v>0.63419999999999999</v>
      </c>
      <c r="C387" s="2">
        <v>2.2700000000000001E-2</v>
      </c>
      <c r="D387" s="2">
        <v>0.1782</v>
      </c>
      <c r="E387" s="2">
        <v>1.9900000000000001E-2</v>
      </c>
      <c r="F387" s="2">
        <v>0.17419999999999999</v>
      </c>
      <c r="G387" s="2">
        <v>1.6400000000000001E-2</v>
      </c>
      <c r="H387" s="2">
        <v>1.34E-2</v>
      </c>
      <c r="I387" s="2">
        <v>4.8999999999999998E-3</v>
      </c>
    </row>
    <row r="388" spans="1:9" x14ac:dyDescent="0.35">
      <c r="A388" s="3">
        <v>0.63680000000000003</v>
      </c>
      <c r="B388" s="2">
        <v>0.63329999999999997</v>
      </c>
      <c r="C388" s="2">
        <v>2.3E-2</v>
      </c>
      <c r="D388" s="2">
        <v>0.1787</v>
      </c>
      <c r="E388" s="2">
        <v>2.0199999999999999E-2</v>
      </c>
      <c r="F388" s="2">
        <v>0.17469999999999999</v>
      </c>
      <c r="G388" s="2">
        <v>1.66E-2</v>
      </c>
      <c r="H388" s="2">
        <v>1.3299999999999999E-2</v>
      </c>
      <c r="I388" s="2">
        <v>4.8999999999999998E-3</v>
      </c>
    </row>
    <row r="389" spans="1:9" x14ac:dyDescent="0.35">
      <c r="A389" s="3">
        <v>0.64</v>
      </c>
      <c r="B389" s="2">
        <v>0.63260000000000005</v>
      </c>
      <c r="C389" s="2">
        <v>2.3199999999999998E-2</v>
      </c>
      <c r="D389" s="2">
        <v>0.17899999999999999</v>
      </c>
      <c r="E389" s="2">
        <v>2.0400000000000001E-2</v>
      </c>
      <c r="F389" s="2">
        <v>0.17519999999999999</v>
      </c>
      <c r="G389" s="2">
        <v>1.67E-2</v>
      </c>
      <c r="H389" s="2">
        <v>1.32E-2</v>
      </c>
      <c r="I389" s="2">
        <v>4.8999999999999998E-3</v>
      </c>
    </row>
    <row r="390" spans="1:9" x14ac:dyDescent="0.35">
      <c r="A390" s="3">
        <v>0.64319999999999999</v>
      </c>
      <c r="B390" s="2">
        <v>0.63180000000000003</v>
      </c>
      <c r="C390" s="2">
        <v>2.3400000000000001E-2</v>
      </c>
      <c r="D390" s="2">
        <v>0.1794</v>
      </c>
      <c r="E390" s="2">
        <v>2.07E-2</v>
      </c>
      <c r="F390" s="2">
        <v>0.17560000000000001</v>
      </c>
      <c r="G390" s="2">
        <v>1.6799999999999999E-2</v>
      </c>
      <c r="H390" s="2">
        <v>1.3100000000000001E-2</v>
      </c>
      <c r="I390" s="2">
        <v>5.0000000000000001E-3</v>
      </c>
    </row>
    <row r="391" spans="1:9" x14ac:dyDescent="0.35">
      <c r="A391" s="3">
        <v>0.64339999999999997</v>
      </c>
      <c r="B391" s="2">
        <v>0.63180000000000003</v>
      </c>
      <c r="C391" s="2">
        <v>2.3400000000000001E-2</v>
      </c>
      <c r="D391" s="2">
        <v>0.17949999999999999</v>
      </c>
      <c r="E391" s="2">
        <v>2.07E-2</v>
      </c>
      <c r="F391" s="2">
        <v>0.17560000000000001</v>
      </c>
      <c r="G391" s="2">
        <v>1.6799999999999999E-2</v>
      </c>
      <c r="H391" s="2">
        <v>1.3100000000000001E-2</v>
      </c>
      <c r="I391" s="2">
        <v>5.0000000000000001E-3</v>
      </c>
    </row>
    <row r="392" spans="1:9" x14ac:dyDescent="0.35">
      <c r="A392" s="3">
        <v>0.64659999999999995</v>
      </c>
      <c r="B392" s="2">
        <v>0.63100000000000001</v>
      </c>
      <c r="C392" s="2">
        <v>2.3699999999999999E-2</v>
      </c>
      <c r="D392" s="2">
        <v>0.17979999999999999</v>
      </c>
      <c r="E392" s="2">
        <v>2.1000000000000001E-2</v>
      </c>
      <c r="F392" s="2">
        <v>0.17610000000000001</v>
      </c>
      <c r="G392" s="2">
        <v>1.7000000000000001E-2</v>
      </c>
      <c r="H392" s="2">
        <v>1.3100000000000001E-2</v>
      </c>
      <c r="I392" s="2">
        <v>5.0000000000000001E-3</v>
      </c>
    </row>
    <row r="393" spans="1:9" x14ac:dyDescent="0.35">
      <c r="A393" s="3">
        <v>0.65</v>
      </c>
      <c r="B393" s="2">
        <v>0.63009999999999999</v>
      </c>
      <c r="C393" s="2">
        <v>2.3900000000000001E-2</v>
      </c>
      <c r="D393" s="2">
        <v>0.18029999999999999</v>
      </c>
      <c r="E393" s="2">
        <v>2.12E-2</v>
      </c>
      <c r="F393" s="2">
        <v>0.17660000000000001</v>
      </c>
      <c r="G393" s="2">
        <v>1.7100000000000001E-2</v>
      </c>
      <c r="H393" s="2">
        <v>1.2999999999999999E-2</v>
      </c>
      <c r="I393" s="2">
        <v>5.1000000000000004E-3</v>
      </c>
    </row>
    <row r="394" spans="1:9" x14ac:dyDescent="0.35">
      <c r="A394" s="3">
        <v>0.6502</v>
      </c>
      <c r="B394" s="2">
        <v>0.63009999999999999</v>
      </c>
      <c r="C394" s="2">
        <v>2.3900000000000001E-2</v>
      </c>
      <c r="D394" s="2">
        <v>0.18029999999999999</v>
      </c>
      <c r="E394" s="2">
        <v>2.12E-2</v>
      </c>
      <c r="F394" s="2">
        <v>0.17660000000000001</v>
      </c>
      <c r="G394" s="2">
        <v>1.7100000000000001E-2</v>
      </c>
      <c r="H394" s="2">
        <v>1.2999999999999999E-2</v>
      </c>
      <c r="I394" s="2">
        <v>5.1000000000000004E-3</v>
      </c>
    </row>
    <row r="395" spans="1:9" x14ac:dyDescent="0.35">
      <c r="A395" s="3">
        <v>0.6532</v>
      </c>
      <c r="B395" s="2">
        <v>0.62939999999999996</v>
      </c>
      <c r="C395" s="2">
        <v>2.4199999999999999E-2</v>
      </c>
      <c r="D395" s="2">
        <v>0.1807</v>
      </c>
      <c r="E395" s="2">
        <v>2.1499999999999998E-2</v>
      </c>
      <c r="F395" s="2">
        <v>0.17699999999999999</v>
      </c>
      <c r="G395" s="2">
        <v>1.7299999999999999E-2</v>
      </c>
      <c r="H395" s="2">
        <v>1.29E-2</v>
      </c>
      <c r="I395" s="2">
        <v>5.1000000000000004E-3</v>
      </c>
    </row>
    <row r="396" spans="1:9" x14ac:dyDescent="0.35">
      <c r="A396" s="3">
        <v>0.65339999999999998</v>
      </c>
      <c r="B396" s="2">
        <v>0.62929999999999997</v>
      </c>
      <c r="C396" s="2">
        <v>2.4199999999999999E-2</v>
      </c>
      <c r="D396" s="2">
        <v>0.1807</v>
      </c>
      <c r="E396" s="2">
        <v>2.1499999999999998E-2</v>
      </c>
      <c r="F396" s="2">
        <v>0.17710000000000001</v>
      </c>
      <c r="G396" s="2">
        <v>1.7299999999999999E-2</v>
      </c>
      <c r="H396" s="2">
        <v>1.29E-2</v>
      </c>
      <c r="I396" s="2">
        <v>5.1000000000000004E-3</v>
      </c>
    </row>
    <row r="397" spans="1:9" x14ac:dyDescent="0.35">
      <c r="A397" s="3">
        <v>0.66</v>
      </c>
      <c r="B397" s="2">
        <v>0.62770000000000004</v>
      </c>
      <c r="C397" s="2">
        <v>2.47E-2</v>
      </c>
      <c r="D397" s="2">
        <v>0.18149999999999999</v>
      </c>
      <c r="E397" s="2">
        <v>2.2100000000000002E-2</v>
      </c>
      <c r="F397" s="2">
        <v>0.17799999999999999</v>
      </c>
      <c r="G397" s="2">
        <v>1.7600000000000001E-2</v>
      </c>
      <c r="H397" s="2">
        <v>1.2800000000000001E-2</v>
      </c>
      <c r="I397" s="2">
        <v>5.1999999999999998E-3</v>
      </c>
    </row>
    <row r="398" spans="1:9" x14ac:dyDescent="0.35">
      <c r="A398" s="3">
        <v>0.66020000000000001</v>
      </c>
      <c r="B398" s="2">
        <v>0.62770000000000004</v>
      </c>
      <c r="C398" s="2">
        <v>2.47E-2</v>
      </c>
      <c r="D398" s="2">
        <v>0.18149999999999999</v>
      </c>
      <c r="E398" s="2">
        <v>2.2100000000000002E-2</v>
      </c>
      <c r="F398" s="2">
        <v>0.17799999999999999</v>
      </c>
      <c r="G398" s="2">
        <v>1.7600000000000001E-2</v>
      </c>
      <c r="H398" s="2">
        <v>1.2800000000000001E-2</v>
      </c>
      <c r="I398" s="2">
        <v>5.1999999999999998E-3</v>
      </c>
    </row>
    <row r="399" spans="1:9" x14ac:dyDescent="0.35">
      <c r="A399" s="3">
        <v>0.66339999999999999</v>
      </c>
      <c r="B399" s="2">
        <v>0.62690000000000001</v>
      </c>
      <c r="C399" s="2">
        <v>2.5000000000000001E-2</v>
      </c>
      <c r="D399" s="2">
        <v>0.18190000000000001</v>
      </c>
      <c r="E399" s="2">
        <v>2.24E-2</v>
      </c>
      <c r="F399" s="2">
        <v>0.17849999999999999</v>
      </c>
      <c r="G399" s="2">
        <v>1.78E-2</v>
      </c>
      <c r="H399" s="2">
        <v>1.2699999999999999E-2</v>
      </c>
      <c r="I399" s="2">
        <v>5.1999999999999998E-3</v>
      </c>
    </row>
    <row r="400" spans="1:9" x14ac:dyDescent="0.35">
      <c r="A400" s="3">
        <v>0.66659999999999997</v>
      </c>
      <c r="B400" s="2">
        <v>0.62609999999999999</v>
      </c>
      <c r="C400" s="2">
        <v>2.52E-2</v>
      </c>
      <c r="D400" s="2">
        <v>0.18229999999999999</v>
      </c>
      <c r="E400" s="2">
        <v>2.2700000000000001E-2</v>
      </c>
      <c r="F400" s="2">
        <v>0.17899999999999999</v>
      </c>
      <c r="G400" s="2">
        <v>1.7899999999999999E-2</v>
      </c>
      <c r="H400" s="2">
        <v>1.2699999999999999E-2</v>
      </c>
      <c r="I400" s="2">
        <v>5.1999999999999998E-3</v>
      </c>
    </row>
    <row r="401" spans="1:9" x14ac:dyDescent="0.35">
      <c r="A401" s="3">
        <v>0.66679999999999995</v>
      </c>
      <c r="B401" s="2">
        <v>0.626</v>
      </c>
      <c r="C401" s="2">
        <v>2.52E-2</v>
      </c>
      <c r="D401" s="2">
        <v>0.18229999999999999</v>
      </c>
      <c r="E401" s="2">
        <v>2.2700000000000001E-2</v>
      </c>
      <c r="F401" s="2">
        <v>0.17899999999999999</v>
      </c>
      <c r="G401" s="2">
        <v>1.7899999999999999E-2</v>
      </c>
      <c r="H401" s="2">
        <v>1.2699999999999999E-2</v>
      </c>
      <c r="I401" s="2">
        <v>5.1999999999999998E-3</v>
      </c>
    </row>
    <row r="402" spans="1:9" x14ac:dyDescent="0.35">
      <c r="A402" s="3">
        <v>0.67</v>
      </c>
      <c r="B402" s="2">
        <v>0.62529999999999997</v>
      </c>
      <c r="C402" s="2">
        <v>2.5499999999999998E-2</v>
      </c>
      <c r="D402" s="2">
        <v>0.1827</v>
      </c>
      <c r="E402" s="2">
        <v>2.3E-2</v>
      </c>
      <c r="F402" s="2">
        <v>0.17949999999999999</v>
      </c>
      <c r="G402" s="2">
        <v>1.8100000000000002E-2</v>
      </c>
      <c r="H402" s="2">
        <v>1.26E-2</v>
      </c>
      <c r="I402" s="2">
        <v>5.3E-3</v>
      </c>
    </row>
    <row r="403" spans="1:9" x14ac:dyDescent="0.35">
      <c r="A403" s="3">
        <v>0.67659999999999998</v>
      </c>
      <c r="B403" s="2">
        <v>0.62360000000000004</v>
      </c>
      <c r="C403" s="2">
        <v>2.6100000000000002E-2</v>
      </c>
      <c r="D403" s="2">
        <v>0.1835</v>
      </c>
      <c r="E403" s="2">
        <v>2.3599999999999999E-2</v>
      </c>
      <c r="F403" s="2">
        <v>0.1804</v>
      </c>
      <c r="G403" s="2">
        <v>1.84E-2</v>
      </c>
      <c r="H403" s="2">
        <v>1.24E-2</v>
      </c>
      <c r="I403" s="2">
        <v>5.3E-3</v>
      </c>
    </row>
    <row r="404" spans="1:9" x14ac:dyDescent="0.35">
      <c r="A404" s="3">
        <v>0.67679999999999996</v>
      </c>
      <c r="B404" s="2">
        <v>0.62360000000000004</v>
      </c>
      <c r="C404" s="2">
        <v>2.6100000000000002E-2</v>
      </c>
      <c r="D404" s="2">
        <v>0.1835</v>
      </c>
      <c r="E404" s="2">
        <v>2.3599999999999999E-2</v>
      </c>
      <c r="F404" s="2">
        <v>0.1804</v>
      </c>
      <c r="G404" s="2">
        <v>1.84E-2</v>
      </c>
      <c r="H404" s="2">
        <v>1.24E-2</v>
      </c>
      <c r="I404" s="2">
        <v>5.3E-3</v>
      </c>
    </row>
    <row r="405" spans="1:9" x14ac:dyDescent="0.35">
      <c r="A405" s="3">
        <v>0.68</v>
      </c>
      <c r="B405" s="2">
        <v>0.62280000000000002</v>
      </c>
      <c r="C405" s="2">
        <v>2.64E-2</v>
      </c>
      <c r="D405" s="2">
        <v>0.18390000000000001</v>
      </c>
      <c r="E405" s="2">
        <v>2.3900000000000001E-2</v>
      </c>
      <c r="F405" s="2">
        <v>0.18090000000000001</v>
      </c>
      <c r="G405" s="2">
        <v>1.8599999999999998E-2</v>
      </c>
      <c r="H405" s="2">
        <v>1.24E-2</v>
      </c>
      <c r="I405" s="2">
        <v>5.4000000000000003E-3</v>
      </c>
    </row>
    <row r="406" spans="1:9" x14ac:dyDescent="0.35">
      <c r="A406" s="3">
        <v>0.68020000000000003</v>
      </c>
      <c r="B406" s="2">
        <v>0.62280000000000002</v>
      </c>
      <c r="C406" s="2">
        <v>2.64E-2</v>
      </c>
      <c r="D406" s="2">
        <v>0.18390000000000001</v>
      </c>
      <c r="E406" s="2">
        <v>2.3900000000000001E-2</v>
      </c>
      <c r="F406" s="2">
        <v>0.18090000000000001</v>
      </c>
      <c r="G406" s="2">
        <v>1.8599999999999998E-2</v>
      </c>
      <c r="H406" s="2">
        <v>1.24E-2</v>
      </c>
      <c r="I406" s="2">
        <v>5.4000000000000003E-3</v>
      </c>
    </row>
    <row r="407" spans="1:9" x14ac:dyDescent="0.35">
      <c r="A407" s="3">
        <v>0.68320000000000003</v>
      </c>
      <c r="B407" s="2">
        <v>0.622</v>
      </c>
      <c r="C407" s="2">
        <v>2.6599999999999999E-2</v>
      </c>
      <c r="D407" s="2">
        <v>0.18429999999999999</v>
      </c>
      <c r="E407" s="2">
        <v>2.4199999999999999E-2</v>
      </c>
      <c r="F407" s="2">
        <v>0.18140000000000001</v>
      </c>
      <c r="G407" s="2">
        <v>1.8800000000000001E-2</v>
      </c>
      <c r="H407" s="2">
        <v>1.23E-2</v>
      </c>
      <c r="I407" s="2">
        <v>5.4000000000000003E-3</v>
      </c>
    </row>
    <row r="408" spans="1:9" x14ac:dyDescent="0.35">
      <c r="A408" s="3">
        <v>0.68340000000000001</v>
      </c>
      <c r="B408" s="2">
        <v>0.622</v>
      </c>
      <c r="C408" s="2">
        <v>2.6700000000000002E-2</v>
      </c>
      <c r="D408" s="2">
        <v>0.18429999999999999</v>
      </c>
      <c r="E408" s="2">
        <v>2.4199999999999999E-2</v>
      </c>
      <c r="F408" s="2">
        <v>0.18140000000000001</v>
      </c>
      <c r="G408" s="2">
        <v>1.8800000000000001E-2</v>
      </c>
      <c r="H408" s="2">
        <v>1.23E-2</v>
      </c>
      <c r="I408" s="2">
        <v>5.4000000000000003E-3</v>
      </c>
    </row>
    <row r="409" spans="1:9" x14ac:dyDescent="0.35">
      <c r="A409" s="3">
        <v>0.68679999999999997</v>
      </c>
      <c r="B409" s="2">
        <v>0.62109999999999999</v>
      </c>
      <c r="C409" s="2">
        <v>2.7E-2</v>
      </c>
      <c r="D409" s="2">
        <v>0.1847</v>
      </c>
      <c r="E409" s="2">
        <v>2.46E-2</v>
      </c>
      <c r="F409" s="2">
        <v>0.18190000000000001</v>
      </c>
      <c r="G409" s="2">
        <v>1.9E-2</v>
      </c>
      <c r="H409" s="2">
        <v>1.2200000000000001E-2</v>
      </c>
      <c r="I409" s="2">
        <v>5.4000000000000003E-3</v>
      </c>
    </row>
    <row r="410" spans="1:9" x14ac:dyDescent="0.35">
      <c r="A410" s="3">
        <v>0.69320000000000004</v>
      </c>
      <c r="B410" s="2">
        <v>0.61950000000000005</v>
      </c>
      <c r="C410" s="2">
        <v>2.75E-2</v>
      </c>
      <c r="D410" s="2">
        <v>0.1855</v>
      </c>
      <c r="E410" s="2">
        <v>2.52E-2</v>
      </c>
      <c r="F410" s="2">
        <v>0.18279999999999999</v>
      </c>
      <c r="G410" s="2">
        <v>1.9300000000000001E-2</v>
      </c>
      <c r="H410" s="2">
        <v>1.21E-2</v>
      </c>
      <c r="I410" s="2">
        <v>5.4999999999999997E-3</v>
      </c>
    </row>
    <row r="411" spans="1:9" x14ac:dyDescent="0.35">
      <c r="A411" s="3">
        <v>0.69340000000000002</v>
      </c>
      <c r="B411" s="2">
        <v>0.61950000000000005</v>
      </c>
      <c r="C411" s="2">
        <v>2.76E-2</v>
      </c>
      <c r="D411" s="2">
        <v>0.18559999999999999</v>
      </c>
      <c r="E411" s="2">
        <v>2.52E-2</v>
      </c>
      <c r="F411" s="2">
        <v>0.18279999999999999</v>
      </c>
      <c r="G411" s="2">
        <v>1.9400000000000001E-2</v>
      </c>
      <c r="H411" s="2">
        <v>1.21E-2</v>
      </c>
      <c r="I411" s="2">
        <v>5.4999999999999997E-3</v>
      </c>
    </row>
    <row r="412" spans="1:9" x14ac:dyDescent="0.35">
      <c r="A412" s="3">
        <v>0.6966</v>
      </c>
      <c r="B412" s="2">
        <v>0.61870000000000003</v>
      </c>
      <c r="C412" s="2">
        <v>2.7900000000000001E-2</v>
      </c>
      <c r="D412" s="2">
        <v>0.18590000000000001</v>
      </c>
      <c r="E412" s="2">
        <v>2.5499999999999998E-2</v>
      </c>
      <c r="F412" s="2">
        <v>0.18329999999999999</v>
      </c>
      <c r="G412" s="2">
        <v>1.95E-2</v>
      </c>
      <c r="H412" s="2">
        <v>1.2E-2</v>
      </c>
      <c r="I412" s="2">
        <v>5.5999999999999999E-3</v>
      </c>
    </row>
    <row r="413" spans="1:9" x14ac:dyDescent="0.35">
      <c r="A413" s="3">
        <v>0.69679999999999997</v>
      </c>
      <c r="B413" s="2">
        <v>0.61870000000000003</v>
      </c>
      <c r="C413" s="2">
        <v>2.7900000000000001E-2</v>
      </c>
      <c r="D413" s="2">
        <v>0.186</v>
      </c>
      <c r="E413" s="2">
        <v>2.5600000000000001E-2</v>
      </c>
      <c r="F413" s="2">
        <v>0.18329999999999999</v>
      </c>
      <c r="G413" s="2">
        <v>1.95E-2</v>
      </c>
      <c r="H413" s="2">
        <v>1.2E-2</v>
      </c>
      <c r="I413" s="2">
        <v>5.5999999999999999E-3</v>
      </c>
    </row>
    <row r="414" spans="1:9" x14ac:dyDescent="0.35">
      <c r="A414" s="3">
        <v>0.7</v>
      </c>
      <c r="B414" s="2">
        <v>0.6179</v>
      </c>
      <c r="C414" s="2">
        <v>2.8199999999999999E-2</v>
      </c>
      <c r="D414" s="2">
        <v>0.18640000000000001</v>
      </c>
      <c r="E414" s="2">
        <v>2.5899999999999999E-2</v>
      </c>
      <c r="F414" s="2">
        <v>0.18379999999999999</v>
      </c>
      <c r="G414" s="2">
        <v>1.9699999999999999E-2</v>
      </c>
      <c r="H414" s="2">
        <v>1.2E-2</v>
      </c>
      <c r="I414" s="2">
        <v>5.5999999999999999E-3</v>
      </c>
    </row>
    <row r="415" spans="1:9" x14ac:dyDescent="0.35">
      <c r="A415" s="3">
        <v>0.70020000000000004</v>
      </c>
      <c r="B415" s="2">
        <v>0.61780000000000002</v>
      </c>
      <c r="C415" s="2">
        <v>2.8199999999999999E-2</v>
      </c>
      <c r="D415" s="2">
        <v>0.18640000000000001</v>
      </c>
      <c r="E415" s="2">
        <v>2.5899999999999999E-2</v>
      </c>
      <c r="F415" s="2">
        <v>0.18379999999999999</v>
      </c>
      <c r="G415" s="2">
        <v>1.9699999999999999E-2</v>
      </c>
      <c r="H415" s="2">
        <v>1.2E-2</v>
      </c>
      <c r="I415" s="2">
        <v>5.5999999999999999E-3</v>
      </c>
    </row>
    <row r="416" spans="1:9" x14ac:dyDescent="0.35">
      <c r="A416" s="3">
        <v>0.70679999999999998</v>
      </c>
      <c r="B416" s="2">
        <v>0.61619999999999997</v>
      </c>
      <c r="C416" s="2">
        <v>2.8799999999999999E-2</v>
      </c>
      <c r="D416" s="2">
        <v>0.18720000000000001</v>
      </c>
      <c r="E416" s="2">
        <v>2.6599999999999999E-2</v>
      </c>
      <c r="F416" s="2">
        <v>0.18479999999999999</v>
      </c>
      <c r="G416" s="2">
        <v>2.01E-2</v>
      </c>
      <c r="H416" s="2">
        <v>1.18E-2</v>
      </c>
      <c r="I416" s="2">
        <v>5.7000000000000002E-3</v>
      </c>
    </row>
    <row r="417" spans="1:9" x14ac:dyDescent="0.35">
      <c r="A417" s="3">
        <v>0.71</v>
      </c>
      <c r="B417" s="2">
        <v>0.61539999999999995</v>
      </c>
      <c r="C417" s="2">
        <v>2.9100000000000001E-2</v>
      </c>
      <c r="D417" s="2">
        <v>0.18759999999999999</v>
      </c>
      <c r="E417" s="2">
        <v>2.69E-2</v>
      </c>
      <c r="F417" s="2">
        <v>0.18529999999999999</v>
      </c>
      <c r="G417" s="2">
        <v>2.0299999999999999E-2</v>
      </c>
      <c r="H417" s="2">
        <v>1.18E-2</v>
      </c>
      <c r="I417" s="2">
        <v>5.7000000000000002E-3</v>
      </c>
    </row>
    <row r="418" spans="1:9" x14ac:dyDescent="0.35">
      <c r="A418" s="3">
        <v>0.71020000000000005</v>
      </c>
      <c r="B418" s="2">
        <v>0.61529999999999996</v>
      </c>
      <c r="C418" s="2">
        <v>2.9100000000000001E-2</v>
      </c>
      <c r="D418" s="2">
        <v>0.18759999999999999</v>
      </c>
      <c r="E418" s="2">
        <v>2.7E-2</v>
      </c>
      <c r="F418" s="2">
        <v>0.18529999999999999</v>
      </c>
      <c r="G418" s="2">
        <v>2.0299999999999999E-2</v>
      </c>
      <c r="H418" s="2">
        <v>1.18E-2</v>
      </c>
      <c r="I418" s="2">
        <v>5.7000000000000002E-3</v>
      </c>
    </row>
    <row r="419" spans="1:9" x14ac:dyDescent="0.35">
      <c r="A419" s="3">
        <v>0.71340000000000003</v>
      </c>
      <c r="B419" s="2">
        <v>0.61450000000000005</v>
      </c>
      <c r="C419" s="2">
        <v>2.9499999999999998E-2</v>
      </c>
      <c r="D419" s="2">
        <v>0.188</v>
      </c>
      <c r="E419" s="2">
        <v>2.7300000000000001E-2</v>
      </c>
      <c r="F419" s="2">
        <v>0.18579999999999999</v>
      </c>
      <c r="G419" s="2">
        <v>2.0500000000000001E-2</v>
      </c>
      <c r="H419" s="2">
        <v>1.17E-2</v>
      </c>
      <c r="I419" s="2">
        <v>5.7000000000000002E-3</v>
      </c>
    </row>
    <row r="420" spans="1:9" x14ac:dyDescent="0.35">
      <c r="A420" s="3">
        <v>0.71660000000000001</v>
      </c>
      <c r="B420" s="2">
        <v>0.61370000000000002</v>
      </c>
      <c r="C420" s="2">
        <v>2.98E-2</v>
      </c>
      <c r="D420" s="2">
        <v>0.18840000000000001</v>
      </c>
      <c r="E420" s="2">
        <v>2.7699999999999999E-2</v>
      </c>
      <c r="F420" s="2">
        <v>0.1862</v>
      </c>
      <c r="G420" s="2">
        <v>2.07E-2</v>
      </c>
      <c r="H420" s="2">
        <v>1.17E-2</v>
      </c>
      <c r="I420" s="2">
        <v>5.7999999999999996E-3</v>
      </c>
    </row>
    <row r="421" spans="1:9" x14ac:dyDescent="0.35">
      <c r="A421" s="3">
        <v>0.71679999999999999</v>
      </c>
      <c r="B421" s="2">
        <v>0.61370000000000002</v>
      </c>
      <c r="C421" s="2">
        <v>2.98E-2</v>
      </c>
      <c r="D421" s="2">
        <v>0.18840000000000001</v>
      </c>
      <c r="E421" s="2">
        <v>2.7699999999999999E-2</v>
      </c>
      <c r="F421" s="2">
        <v>0.18629999999999999</v>
      </c>
      <c r="G421" s="2">
        <v>2.07E-2</v>
      </c>
      <c r="H421" s="2">
        <v>1.17E-2</v>
      </c>
      <c r="I421" s="2">
        <v>5.7999999999999996E-3</v>
      </c>
    </row>
    <row r="422" spans="1:9" x14ac:dyDescent="0.35">
      <c r="A422" s="3">
        <v>0.72</v>
      </c>
      <c r="B422" s="2">
        <v>0.6129</v>
      </c>
      <c r="C422" s="2">
        <v>3.0099999999999998E-2</v>
      </c>
      <c r="D422" s="2">
        <v>0.1888</v>
      </c>
      <c r="E422" s="2">
        <v>2.8000000000000001E-2</v>
      </c>
      <c r="F422" s="2">
        <v>0.1867</v>
      </c>
      <c r="G422" s="2">
        <v>2.0899999999999998E-2</v>
      </c>
      <c r="H422" s="2">
        <v>1.1599999999999999E-2</v>
      </c>
      <c r="I422" s="2">
        <v>5.7999999999999996E-3</v>
      </c>
    </row>
    <row r="423" spans="1:9" x14ac:dyDescent="0.35">
      <c r="A423" s="3">
        <v>0.72660000000000002</v>
      </c>
      <c r="B423" s="2">
        <v>0.61119999999999997</v>
      </c>
      <c r="C423" s="2">
        <v>3.0800000000000001E-2</v>
      </c>
      <c r="D423" s="2">
        <v>0.18959999999999999</v>
      </c>
      <c r="E423" s="2">
        <v>2.8799999999999999E-2</v>
      </c>
      <c r="F423" s="2">
        <v>0.18770000000000001</v>
      </c>
      <c r="G423" s="2">
        <v>2.1399999999999999E-2</v>
      </c>
      <c r="H423" s="2">
        <v>1.15E-2</v>
      </c>
      <c r="I423" s="2">
        <v>5.8999999999999999E-3</v>
      </c>
    </row>
    <row r="424" spans="1:9" x14ac:dyDescent="0.35">
      <c r="A424" s="3">
        <v>0.7268</v>
      </c>
      <c r="B424" s="2">
        <v>0.61119999999999997</v>
      </c>
      <c r="C424" s="2">
        <v>3.0800000000000001E-2</v>
      </c>
      <c r="D424" s="2">
        <v>0.18970000000000001</v>
      </c>
      <c r="E424" s="2">
        <v>2.8799999999999999E-2</v>
      </c>
      <c r="F424" s="2">
        <v>0.18770000000000001</v>
      </c>
      <c r="G424" s="2">
        <v>2.1399999999999999E-2</v>
      </c>
      <c r="H424" s="2">
        <v>1.15E-2</v>
      </c>
      <c r="I424" s="2">
        <v>5.8999999999999999E-3</v>
      </c>
    </row>
    <row r="425" spans="1:9" x14ac:dyDescent="0.35">
      <c r="A425" s="3">
        <v>0.73</v>
      </c>
      <c r="B425" s="2">
        <v>0.61040000000000005</v>
      </c>
      <c r="C425" s="2">
        <v>3.1099999999999999E-2</v>
      </c>
      <c r="D425" s="2">
        <v>0.19</v>
      </c>
      <c r="E425" s="2">
        <v>2.92E-2</v>
      </c>
      <c r="F425" s="2">
        <v>0.18820000000000001</v>
      </c>
      <c r="G425" s="2">
        <v>2.1600000000000001E-2</v>
      </c>
      <c r="H425" s="2">
        <v>1.14E-2</v>
      </c>
      <c r="I425" s="2">
        <v>5.8999999999999999E-3</v>
      </c>
    </row>
    <row r="426" spans="1:9" x14ac:dyDescent="0.35">
      <c r="A426" s="3">
        <v>0.73319999999999996</v>
      </c>
      <c r="B426" s="2">
        <v>0.60960000000000003</v>
      </c>
      <c r="C426" s="2">
        <v>3.1399999999999997E-2</v>
      </c>
      <c r="D426" s="2">
        <v>0.19040000000000001</v>
      </c>
      <c r="E426" s="2">
        <v>2.9499999999999998E-2</v>
      </c>
      <c r="F426" s="2">
        <v>0.18870000000000001</v>
      </c>
      <c r="G426" s="2">
        <v>2.18E-2</v>
      </c>
      <c r="H426" s="2">
        <v>1.1299999999999999E-2</v>
      </c>
      <c r="I426" s="2">
        <v>5.8999999999999999E-3</v>
      </c>
    </row>
    <row r="427" spans="1:9" x14ac:dyDescent="0.35">
      <c r="A427" s="3">
        <v>0.73340000000000005</v>
      </c>
      <c r="B427" s="2">
        <v>0.60950000000000004</v>
      </c>
      <c r="C427" s="2">
        <v>3.15E-2</v>
      </c>
      <c r="D427" s="2">
        <v>0.1905</v>
      </c>
      <c r="E427" s="2">
        <v>2.9499999999999998E-2</v>
      </c>
      <c r="F427" s="2">
        <v>0.18870000000000001</v>
      </c>
      <c r="G427" s="2">
        <v>2.18E-2</v>
      </c>
      <c r="H427" s="2">
        <v>1.1299999999999999E-2</v>
      </c>
      <c r="I427" s="2">
        <v>5.8999999999999999E-3</v>
      </c>
    </row>
    <row r="428" spans="1:9" x14ac:dyDescent="0.35">
      <c r="A428" s="3">
        <v>0.73660000000000003</v>
      </c>
      <c r="B428" s="2">
        <v>0.60870000000000002</v>
      </c>
      <c r="C428" s="2">
        <v>3.1800000000000002E-2</v>
      </c>
      <c r="D428" s="2">
        <v>0.19089999999999999</v>
      </c>
      <c r="E428" s="2">
        <v>2.9899999999999999E-2</v>
      </c>
      <c r="F428" s="2">
        <v>0.18920000000000001</v>
      </c>
      <c r="G428" s="2">
        <v>2.1999999999999999E-2</v>
      </c>
      <c r="H428" s="2">
        <v>1.1299999999999999E-2</v>
      </c>
      <c r="I428" s="2">
        <v>6.0000000000000001E-3</v>
      </c>
    </row>
    <row r="429" spans="1:9" x14ac:dyDescent="0.35">
      <c r="A429" s="3">
        <v>0.73680000000000001</v>
      </c>
      <c r="B429" s="2">
        <v>0.60860000000000003</v>
      </c>
      <c r="C429" s="2">
        <v>3.1800000000000002E-2</v>
      </c>
      <c r="D429" s="2">
        <v>0.19089999999999999</v>
      </c>
      <c r="E429" s="2">
        <v>2.9899999999999999E-2</v>
      </c>
      <c r="F429" s="2">
        <v>0.18920000000000001</v>
      </c>
      <c r="G429" s="2">
        <v>2.1999999999999999E-2</v>
      </c>
      <c r="H429" s="2">
        <v>1.1299999999999999E-2</v>
      </c>
      <c r="I429" s="2">
        <v>6.0000000000000001E-3</v>
      </c>
    </row>
    <row r="430" spans="1:9" x14ac:dyDescent="0.35">
      <c r="A430" s="3">
        <v>0.74339999999999995</v>
      </c>
      <c r="B430" s="2">
        <v>0.60699999999999998</v>
      </c>
      <c r="C430" s="2">
        <v>3.2500000000000001E-2</v>
      </c>
      <c r="D430" s="2">
        <v>0.19170000000000001</v>
      </c>
      <c r="E430" s="2">
        <v>3.0700000000000002E-2</v>
      </c>
      <c r="F430" s="2">
        <v>0.19020000000000001</v>
      </c>
      <c r="G430" s="2">
        <v>2.2499999999999999E-2</v>
      </c>
      <c r="H430" s="2">
        <v>1.11E-2</v>
      </c>
      <c r="I430" s="2">
        <v>6.0000000000000001E-3</v>
      </c>
    </row>
    <row r="431" spans="1:9" x14ac:dyDescent="0.35">
      <c r="A431" s="3">
        <v>0.74660000000000004</v>
      </c>
      <c r="B431" s="2">
        <v>0.60619999999999996</v>
      </c>
      <c r="C431" s="2">
        <v>3.2800000000000003E-2</v>
      </c>
      <c r="D431" s="2">
        <v>0.19209999999999999</v>
      </c>
      <c r="E431" s="2">
        <v>3.1099999999999999E-2</v>
      </c>
      <c r="F431" s="2">
        <v>0.19059999999999999</v>
      </c>
      <c r="G431" s="2">
        <v>2.2700000000000001E-2</v>
      </c>
      <c r="H431" s="2">
        <v>1.11E-2</v>
      </c>
      <c r="I431" s="2">
        <v>6.1000000000000004E-3</v>
      </c>
    </row>
    <row r="432" spans="1:9" x14ac:dyDescent="0.35">
      <c r="A432" s="3">
        <v>0.74680000000000002</v>
      </c>
      <c r="B432" s="2">
        <v>0.60609999999999997</v>
      </c>
      <c r="C432" s="2">
        <v>3.2899999999999999E-2</v>
      </c>
      <c r="D432" s="2">
        <v>0.19209999999999999</v>
      </c>
      <c r="E432" s="2">
        <v>3.1099999999999999E-2</v>
      </c>
      <c r="F432" s="2">
        <v>0.19070000000000001</v>
      </c>
      <c r="G432" s="2">
        <v>2.2700000000000001E-2</v>
      </c>
      <c r="H432" s="2">
        <v>1.11E-2</v>
      </c>
      <c r="I432" s="2">
        <v>6.1000000000000004E-3</v>
      </c>
    </row>
    <row r="433" spans="1:9" x14ac:dyDescent="0.35">
      <c r="A433" s="3">
        <v>0.75</v>
      </c>
      <c r="B433" s="2">
        <v>0.60529999999999995</v>
      </c>
      <c r="C433" s="2">
        <v>3.32E-2</v>
      </c>
      <c r="D433" s="2">
        <v>0.1925</v>
      </c>
      <c r="E433" s="2">
        <v>3.15E-2</v>
      </c>
      <c r="F433" s="2">
        <v>0.19120000000000001</v>
      </c>
      <c r="G433" s="2">
        <v>2.29E-2</v>
      </c>
      <c r="H433" s="2">
        <v>1.0999999999999999E-2</v>
      </c>
      <c r="I433" s="2">
        <v>6.1000000000000004E-3</v>
      </c>
    </row>
    <row r="434" spans="1:9" x14ac:dyDescent="0.35">
      <c r="A434" s="3">
        <v>0.75019999999999998</v>
      </c>
      <c r="B434" s="2">
        <v>0.60529999999999995</v>
      </c>
      <c r="C434" s="2">
        <v>3.32E-2</v>
      </c>
      <c r="D434" s="2">
        <v>0.1925</v>
      </c>
      <c r="E434" s="2">
        <v>3.15E-2</v>
      </c>
      <c r="F434" s="2">
        <v>0.19120000000000001</v>
      </c>
      <c r="G434" s="2">
        <v>2.29E-2</v>
      </c>
      <c r="H434" s="2">
        <v>1.0999999999999999E-2</v>
      </c>
      <c r="I434" s="2">
        <v>6.1000000000000004E-3</v>
      </c>
    </row>
    <row r="435" spans="1:9" x14ac:dyDescent="0.35">
      <c r="A435" s="3">
        <v>0.76</v>
      </c>
      <c r="B435" s="2">
        <v>0.6028</v>
      </c>
      <c r="C435" s="2">
        <v>3.4299999999999997E-2</v>
      </c>
      <c r="D435" s="2">
        <v>0.1938</v>
      </c>
      <c r="E435" s="2">
        <v>3.27E-2</v>
      </c>
      <c r="F435" s="2">
        <v>0.19259999999999999</v>
      </c>
      <c r="G435" s="2">
        <v>2.3599999999999999E-2</v>
      </c>
      <c r="H435" s="2">
        <v>1.0800000000000001E-2</v>
      </c>
      <c r="I435" s="2">
        <v>6.1999999999999998E-3</v>
      </c>
    </row>
    <row r="436" spans="1:9" x14ac:dyDescent="0.35">
      <c r="A436" s="3">
        <v>0.76019999999999999</v>
      </c>
      <c r="B436" s="2">
        <v>0.60270000000000001</v>
      </c>
      <c r="C436" s="2">
        <v>3.4299999999999997E-2</v>
      </c>
      <c r="D436" s="2">
        <v>0.1938</v>
      </c>
      <c r="E436" s="2">
        <v>3.27E-2</v>
      </c>
      <c r="F436" s="2">
        <v>0.19270000000000001</v>
      </c>
      <c r="G436" s="2">
        <v>2.3699999999999999E-2</v>
      </c>
      <c r="H436" s="2">
        <v>1.0800000000000001E-2</v>
      </c>
      <c r="I436" s="2">
        <v>6.1999999999999998E-3</v>
      </c>
    </row>
    <row r="437" spans="1:9" x14ac:dyDescent="0.35">
      <c r="A437" s="3">
        <v>0.76339999999999997</v>
      </c>
      <c r="B437" s="2">
        <v>0.60189999999999999</v>
      </c>
      <c r="C437" s="2">
        <v>3.4599999999999999E-2</v>
      </c>
      <c r="D437" s="2">
        <v>0.19420000000000001</v>
      </c>
      <c r="E437" s="2">
        <v>3.3099999999999997E-2</v>
      </c>
      <c r="F437" s="2">
        <v>0.19309999999999999</v>
      </c>
      <c r="G437" s="2">
        <v>2.3900000000000001E-2</v>
      </c>
      <c r="H437" s="2">
        <v>1.0800000000000001E-2</v>
      </c>
      <c r="I437" s="2">
        <v>6.1999999999999998E-3</v>
      </c>
    </row>
    <row r="438" spans="1:9" x14ac:dyDescent="0.35">
      <c r="A438" s="3">
        <v>0.76659999999999995</v>
      </c>
      <c r="B438" s="2">
        <v>0.60109999999999997</v>
      </c>
      <c r="C438" s="2">
        <v>3.5000000000000003E-2</v>
      </c>
      <c r="D438" s="2">
        <v>0.1946</v>
      </c>
      <c r="E438" s="2">
        <v>3.3500000000000002E-2</v>
      </c>
      <c r="F438" s="2">
        <v>0.19359999999999999</v>
      </c>
      <c r="G438" s="2">
        <v>2.41E-2</v>
      </c>
      <c r="H438" s="2">
        <v>1.0699999999999999E-2</v>
      </c>
      <c r="I438" s="2">
        <v>6.1999999999999998E-3</v>
      </c>
    </row>
    <row r="439" spans="1:9" x14ac:dyDescent="0.35">
      <c r="A439" s="3">
        <v>0.76680000000000004</v>
      </c>
      <c r="B439" s="2">
        <v>0.60099999999999998</v>
      </c>
      <c r="C439" s="2">
        <v>3.5000000000000003E-2</v>
      </c>
      <c r="D439" s="2">
        <v>0.1946</v>
      </c>
      <c r="E439" s="2">
        <v>3.3500000000000002E-2</v>
      </c>
      <c r="F439" s="2">
        <v>0.19359999999999999</v>
      </c>
      <c r="G439" s="2">
        <v>2.41E-2</v>
      </c>
      <c r="H439" s="2">
        <v>1.0699999999999999E-2</v>
      </c>
      <c r="I439" s="2">
        <v>6.1999999999999998E-3</v>
      </c>
    </row>
    <row r="440" spans="1:9" x14ac:dyDescent="0.35">
      <c r="A440" s="3">
        <v>0.77339999999999998</v>
      </c>
      <c r="B440" s="2">
        <v>0.59940000000000004</v>
      </c>
      <c r="C440" s="2">
        <v>3.5700000000000003E-2</v>
      </c>
      <c r="D440" s="2">
        <v>0.19539999999999999</v>
      </c>
      <c r="E440" s="2">
        <v>3.4299999999999997E-2</v>
      </c>
      <c r="F440" s="2">
        <v>0.1946</v>
      </c>
      <c r="G440" s="2">
        <v>2.46E-2</v>
      </c>
      <c r="H440" s="2">
        <v>1.06E-2</v>
      </c>
      <c r="I440" s="2">
        <v>6.3E-3</v>
      </c>
    </row>
    <row r="441" spans="1:9" x14ac:dyDescent="0.35">
      <c r="A441" s="3">
        <v>0.77659999999999996</v>
      </c>
      <c r="B441" s="2">
        <v>0.59850000000000003</v>
      </c>
      <c r="C441" s="2">
        <v>3.61E-2</v>
      </c>
      <c r="D441" s="2">
        <v>0.1958</v>
      </c>
      <c r="E441" s="2">
        <v>3.4700000000000002E-2</v>
      </c>
      <c r="F441" s="2">
        <v>0.1951</v>
      </c>
      <c r="G441" s="2">
        <v>2.4899999999999999E-2</v>
      </c>
      <c r="H441" s="2">
        <v>1.0500000000000001E-2</v>
      </c>
      <c r="I441" s="2">
        <v>6.3E-3</v>
      </c>
    </row>
    <row r="442" spans="1:9" x14ac:dyDescent="0.35">
      <c r="A442" s="3">
        <v>0.77680000000000005</v>
      </c>
      <c r="B442" s="2">
        <v>0.59850000000000003</v>
      </c>
      <c r="C442" s="2">
        <v>3.61E-2</v>
      </c>
      <c r="D442" s="2">
        <v>0.1958</v>
      </c>
      <c r="E442" s="2">
        <v>3.4799999999999998E-2</v>
      </c>
      <c r="F442" s="2">
        <v>0.1951</v>
      </c>
      <c r="G442" s="2">
        <v>2.4899999999999999E-2</v>
      </c>
      <c r="H442" s="2">
        <v>1.0500000000000001E-2</v>
      </c>
      <c r="I442" s="2">
        <v>6.3E-3</v>
      </c>
    </row>
    <row r="443" spans="1:9" x14ac:dyDescent="0.35">
      <c r="A443" s="3">
        <v>0.78</v>
      </c>
      <c r="B443" s="2">
        <v>0.59770000000000001</v>
      </c>
      <c r="C443" s="2">
        <v>3.6499999999999998E-2</v>
      </c>
      <c r="D443" s="2">
        <v>0.19620000000000001</v>
      </c>
      <c r="E443" s="2">
        <v>3.5200000000000002E-2</v>
      </c>
      <c r="F443" s="2">
        <v>0.1956</v>
      </c>
      <c r="G443" s="2">
        <v>2.5100000000000001E-2</v>
      </c>
      <c r="H443" s="2">
        <v>1.0500000000000001E-2</v>
      </c>
      <c r="I443" s="2">
        <v>6.3E-3</v>
      </c>
    </row>
    <row r="444" spans="1:9" x14ac:dyDescent="0.35">
      <c r="A444" s="3">
        <v>0.78339999999999999</v>
      </c>
      <c r="B444" s="2">
        <v>0.5968</v>
      </c>
      <c r="C444" s="2">
        <v>3.6900000000000002E-2</v>
      </c>
      <c r="D444" s="2">
        <v>0.1966</v>
      </c>
      <c r="E444" s="2">
        <v>3.56E-2</v>
      </c>
      <c r="F444" s="2">
        <v>0.1961</v>
      </c>
      <c r="G444" s="2">
        <v>2.5399999999999999E-2</v>
      </c>
      <c r="H444" s="2">
        <v>1.04E-2</v>
      </c>
      <c r="I444" s="2">
        <v>6.4000000000000003E-3</v>
      </c>
    </row>
    <row r="445" spans="1:9" x14ac:dyDescent="0.35">
      <c r="A445" s="3">
        <v>0.78659999999999997</v>
      </c>
      <c r="B445" s="2">
        <v>0.59599999999999997</v>
      </c>
      <c r="C445" s="2">
        <v>3.7199999999999997E-2</v>
      </c>
      <c r="D445" s="2">
        <v>0.19700000000000001</v>
      </c>
      <c r="E445" s="2">
        <v>3.5999999999999997E-2</v>
      </c>
      <c r="F445" s="2">
        <v>0.1966</v>
      </c>
      <c r="G445" s="2">
        <v>2.5600000000000001E-2</v>
      </c>
      <c r="H445" s="2">
        <v>1.04E-2</v>
      </c>
      <c r="I445" s="2">
        <v>6.4000000000000003E-3</v>
      </c>
    </row>
    <row r="446" spans="1:9" x14ac:dyDescent="0.35">
      <c r="A446" s="3">
        <v>0.78680000000000005</v>
      </c>
      <c r="B446" s="2">
        <v>0.59589999999999999</v>
      </c>
      <c r="C446" s="2">
        <v>3.7199999999999997E-2</v>
      </c>
      <c r="D446" s="2">
        <v>0.1971</v>
      </c>
      <c r="E446" s="2">
        <v>3.5999999999999997E-2</v>
      </c>
      <c r="F446" s="2">
        <v>0.1966</v>
      </c>
      <c r="G446" s="2">
        <v>2.5600000000000001E-2</v>
      </c>
      <c r="H446" s="2">
        <v>1.04E-2</v>
      </c>
      <c r="I446" s="2">
        <v>6.4000000000000003E-3</v>
      </c>
    </row>
    <row r="447" spans="1:9" x14ac:dyDescent="0.35">
      <c r="A447" s="3">
        <v>0.79339999999999999</v>
      </c>
      <c r="B447" s="2">
        <v>0.59419999999999995</v>
      </c>
      <c r="C447" s="2">
        <v>3.7999999999999999E-2</v>
      </c>
      <c r="D447" s="2">
        <v>0.19789999999999999</v>
      </c>
      <c r="E447" s="2">
        <v>3.6900000000000002E-2</v>
      </c>
      <c r="F447" s="2">
        <v>0.1976</v>
      </c>
      <c r="G447" s="2">
        <v>2.6100000000000002E-2</v>
      </c>
      <c r="H447" s="2">
        <v>1.03E-2</v>
      </c>
      <c r="I447" s="2">
        <v>6.4999999999999997E-3</v>
      </c>
    </row>
    <row r="448" spans="1:9" x14ac:dyDescent="0.35">
      <c r="A448" s="3">
        <v>0.8</v>
      </c>
      <c r="B448" s="2">
        <v>0.59250000000000003</v>
      </c>
      <c r="C448" s="2">
        <v>3.8699999999999998E-2</v>
      </c>
      <c r="D448" s="2">
        <v>0.19869999999999999</v>
      </c>
      <c r="E448" s="2">
        <v>3.78E-2</v>
      </c>
      <c r="F448" s="2">
        <v>0.1986</v>
      </c>
      <c r="G448" s="2">
        <v>2.6700000000000002E-2</v>
      </c>
      <c r="H448" s="2">
        <v>1.01E-2</v>
      </c>
      <c r="I448" s="2">
        <v>6.4999999999999997E-3</v>
      </c>
    </row>
    <row r="449" spans="1:9" x14ac:dyDescent="0.35">
      <c r="A449" s="3">
        <v>0.80020000000000002</v>
      </c>
      <c r="B449" s="2">
        <v>0.59250000000000003</v>
      </c>
      <c r="C449" s="2">
        <v>3.8800000000000001E-2</v>
      </c>
      <c r="D449" s="2">
        <v>0.19869999999999999</v>
      </c>
      <c r="E449" s="2">
        <v>3.78E-2</v>
      </c>
      <c r="F449" s="2">
        <v>0.19869999999999999</v>
      </c>
      <c r="G449" s="2">
        <v>2.6700000000000002E-2</v>
      </c>
      <c r="H449" s="2">
        <v>1.01E-2</v>
      </c>
      <c r="I449" s="2">
        <v>6.4999999999999997E-3</v>
      </c>
    </row>
    <row r="450" spans="1:9" x14ac:dyDescent="0.35">
      <c r="A450" s="3">
        <v>0.8034</v>
      </c>
      <c r="B450" s="2">
        <v>0.59160000000000001</v>
      </c>
      <c r="C450" s="2">
        <v>3.9100000000000003E-2</v>
      </c>
      <c r="D450" s="2">
        <v>0.1991</v>
      </c>
      <c r="E450" s="2">
        <v>3.8199999999999998E-2</v>
      </c>
      <c r="F450" s="2">
        <v>0.1991</v>
      </c>
      <c r="G450" s="2">
        <v>2.69E-2</v>
      </c>
      <c r="H450" s="2">
        <v>1.01E-2</v>
      </c>
      <c r="I450" s="2">
        <v>6.4999999999999997E-3</v>
      </c>
    </row>
    <row r="451" spans="1:9" x14ac:dyDescent="0.35">
      <c r="A451" s="3">
        <v>0.81</v>
      </c>
      <c r="B451" s="2">
        <v>0.58989999999999998</v>
      </c>
      <c r="C451" s="2">
        <v>3.9899999999999998E-2</v>
      </c>
      <c r="D451" s="2">
        <v>0.19989999999999999</v>
      </c>
      <c r="E451" s="2">
        <v>3.9100000000000003E-2</v>
      </c>
      <c r="F451" s="2">
        <v>0.2001</v>
      </c>
      <c r="G451" s="2">
        <v>2.75E-2</v>
      </c>
      <c r="H451" s="2">
        <v>0.01</v>
      </c>
      <c r="I451" s="2">
        <v>6.6E-3</v>
      </c>
    </row>
    <row r="452" spans="1:9" x14ac:dyDescent="0.35">
      <c r="A452" s="3">
        <v>0.81340000000000001</v>
      </c>
      <c r="B452" s="2">
        <v>0.58909999999999996</v>
      </c>
      <c r="C452" s="2">
        <v>4.0300000000000002E-2</v>
      </c>
      <c r="D452" s="2">
        <v>0.20039999999999999</v>
      </c>
      <c r="E452" s="2">
        <v>3.95E-2</v>
      </c>
      <c r="F452" s="2">
        <v>0.20069999999999999</v>
      </c>
      <c r="G452" s="2">
        <v>2.7699999999999999E-2</v>
      </c>
      <c r="H452" s="2">
        <v>9.9000000000000008E-3</v>
      </c>
      <c r="I452" s="2">
        <v>6.6E-3</v>
      </c>
    </row>
    <row r="453" spans="1:9" x14ac:dyDescent="0.35">
      <c r="A453" s="3">
        <v>0.81659999999999999</v>
      </c>
      <c r="B453" s="2">
        <v>0.58819999999999995</v>
      </c>
      <c r="C453" s="2">
        <v>4.07E-2</v>
      </c>
      <c r="D453" s="2">
        <v>0.20080000000000001</v>
      </c>
      <c r="E453" s="2">
        <v>0.04</v>
      </c>
      <c r="F453" s="2">
        <v>0.2011</v>
      </c>
      <c r="G453" s="2">
        <v>2.8000000000000001E-2</v>
      </c>
      <c r="H453" s="2">
        <v>9.9000000000000008E-3</v>
      </c>
      <c r="I453" s="2">
        <v>6.6E-3</v>
      </c>
    </row>
    <row r="454" spans="1:9" x14ac:dyDescent="0.35">
      <c r="A454" s="3">
        <v>0.81679999999999997</v>
      </c>
      <c r="B454" s="2">
        <v>0.58819999999999995</v>
      </c>
      <c r="C454" s="2">
        <v>4.07E-2</v>
      </c>
      <c r="D454" s="2">
        <v>0.20080000000000001</v>
      </c>
      <c r="E454" s="2">
        <v>0.04</v>
      </c>
      <c r="F454" s="2">
        <v>0.20119999999999999</v>
      </c>
      <c r="G454" s="2">
        <v>2.8000000000000001E-2</v>
      </c>
      <c r="H454" s="2">
        <v>9.9000000000000008E-3</v>
      </c>
      <c r="I454" s="2">
        <v>6.6E-3</v>
      </c>
    </row>
    <row r="455" spans="1:9" x14ac:dyDescent="0.35">
      <c r="A455" s="3">
        <v>0.8266</v>
      </c>
      <c r="B455" s="2">
        <v>0.58560000000000001</v>
      </c>
      <c r="C455" s="2">
        <v>4.1799999999999997E-2</v>
      </c>
      <c r="D455" s="2">
        <v>0.20200000000000001</v>
      </c>
      <c r="E455" s="2">
        <v>4.1300000000000003E-2</v>
      </c>
      <c r="F455" s="2">
        <v>0.20269999999999999</v>
      </c>
      <c r="G455" s="2">
        <v>2.8799999999999999E-2</v>
      </c>
      <c r="H455" s="2">
        <v>9.7000000000000003E-3</v>
      </c>
      <c r="I455" s="2">
        <v>6.7000000000000002E-3</v>
      </c>
    </row>
    <row r="456" spans="1:9" x14ac:dyDescent="0.35">
      <c r="A456" s="3">
        <v>0.82679999999999998</v>
      </c>
      <c r="B456" s="2">
        <v>0.58560000000000001</v>
      </c>
      <c r="C456" s="2">
        <v>4.19E-2</v>
      </c>
      <c r="D456" s="2">
        <v>0.20200000000000001</v>
      </c>
      <c r="E456" s="2">
        <v>4.1300000000000003E-2</v>
      </c>
      <c r="F456" s="2">
        <v>0.20269999999999999</v>
      </c>
      <c r="G456" s="2">
        <v>2.8799999999999999E-2</v>
      </c>
      <c r="H456" s="2">
        <v>9.7000000000000003E-3</v>
      </c>
      <c r="I456" s="2">
        <v>6.7000000000000002E-3</v>
      </c>
    </row>
    <row r="457" spans="1:9" x14ac:dyDescent="0.35">
      <c r="A457" s="3">
        <v>0.83</v>
      </c>
      <c r="B457" s="2">
        <v>0.5847</v>
      </c>
      <c r="C457" s="2">
        <v>4.2200000000000001E-2</v>
      </c>
      <c r="D457" s="2">
        <v>0.2024</v>
      </c>
      <c r="E457" s="2">
        <v>4.1799999999999997E-2</v>
      </c>
      <c r="F457" s="2">
        <v>0.20319999999999999</v>
      </c>
      <c r="G457" s="2">
        <v>2.9100000000000001E-2</v>
      </c>
      <c r="H457" s="2">
        <v>9.5999999999999992E-3</v>
      </c>
      <c r="I457" s="2">
        <v>6.7000000000000002E-3</v>
      </c>
    </row>
    <row r="458" spans="1:9" x14ac:dyDescent="0.35">
      <c r="A458" s="3">
        <v>0.83340000000000003</v>
      </c>
      <c r="B458" s="2">
        <v>0.58389999999999997</v>
      </c>
      <c r="C458" s="2">
        <v>4.2599999999999999E-2</v>
      </c>
      <c r="D458" s="2">
        <v>0.2029</v>
      </c>
      <c r="E458" s="2">
        <v>4.2200000000000001E-2</v>
      </c>
      <c r="F458" s="2">
        <v>0.20369999999999999</v>
      </c>
      <c r="G458" s="2">
        <v>2.9399999999999999E-2</v>
      </c>
      <c r="H458" s="2">
        <v>9.5999999999999992E-3</v>
      </c>
      <c r="I458" s="2">
        <v>6.7000000000000002E-3</v>
      </c>
    </row>
    <row r="459" spans="1:9" x14ac:dyDescent="0.35">
      <c r="A459" s="3">
        <v>0.84340000000000004</v>
      </c>
      <c r="B459" s="2">
        <v>0.58130000000000004</v>
      </c>
      <c r="C459" s="2">
        <v>4.3799999999999999E-2</v>
      </c>
      <c r="D459" s="2">
        <v>0.2041</v>
      </c>
      <c r="E459" s="2">
        <v>4.36E-2</v>
      </c>
      <c r="F459" s="2">
        <v>0.20519999999999999</v>
      </c>
      <c r="G459" s="2">
        <v>3.0300000000000001E-2</v>
      </c>
      <c r="H459" s="2">
        <v>9.4000000000000004E-3</v>
      </c>
      <c r="I459" s="2">
        <v>6.7999999999999996E-3</v>
      </c>
    </row>
    <row r="460" spans="1:9" x14ac:dyDescent="0.35">
      <c r="A460" s="3">
        <v>0.85</v>
      </c>
      <c r="B460" s="2">
        <v>0.57950000000000002</v>
      </c>
      <c r="C460" s="2">
        <v>4.4600000000000001E-2</v>
      </c>
      <c r="D460" s="2">
        <v>0.2049</v>
      </c>
      <c r="E460" s="2">
        <v>4.4600000000000001E-2</v>
      </c>
      <c r="F460" s="2">
        <v>0.20619999999999999</v>
      </c>
      <c r="G460" s="2">
        <v>3.0800000000000001E-2</v>
      </c>
      <c r="H460" s="2">
        <v>9.2999999999999992E-3</v>
      </c>
      <c r="I460" s="2">
        <v>6.7999999999999996E-3</v>
      </c>
    </row>
    <row r="461" spans="1:9" x14ac:dyDescent="0.35">
      <c r="A461" s="3">
        <v>0.85340000000000005</v>
      </c>
      <c r="B461" s="2">
        <v>0.5786</v>
      </c>
      <c r="C461" s="2">
        <v>4.4999999999999998E-2</v>
      </c>
      <c r="D461" s="2">
        <v>0.20530000000000001</v>
      </c>
      <c r="E461" s="2">
        <v>4.4999999999999998E-2</v>
      </c>
      <c r="F461" s="2">
        <v>0.20680000000000001</v>
      </c>
      <c r="G461" s="2">
        <v>3.1099999999999999E-2</v>
      </c>
      <c r="H461" s="2">
        <v>9.2999999999999992E-3</v>
      </c>
      <c r="I461" s="2">
        <v>6.8999999999999999E-3</v>
      </c>
    </row>
    <row r="462" spans="1:9" x14ac:dyDescent="0.35">
      <c r="A462" s="3">
        <v>0.86</v>
      </c>
      <c r="B462" s="2">
        <v>0.57689999999999997</v>
      </c>
      <c r="C462" s="2">
        <v>4.58E-2</v>
      </c>
      <c r="D462" s="2">
        <v>0.20619999999999999</v>
      </c>
      <c r="E462" s="2">
        <v>4.5999999999999999E-2</v>
      </c>
      <c r="F462" s="2">
        <v>0.20780000000000001</v>
      </c>
      <c r="G462" s="2">
        <v>3.1699999999999999E-2</v>
      </c>
      <c r="H462" s="2">
        <v>9.1999999999999998E-3</v>
      </c>
      <c r="I462" s="2">
        <v>6.8999999999999999E-3</v>
      </c>
    </row>
    <row r="463" spans="1:9" x14ac:dyDescent="0.35">
      <c r="A463" s="3">
        <v>0.86660000000000004</v>
      </c>
      <c r="B463" s="2">
        <v>0.57520000000000004</v>
      </c>
      <c r="C463" s="2">
        <v>4.6600000000000003E-2</v>
      </c>
      <c r="D463" s="2">
        <v>0.20699999999999999</v>
      </c>
      <c r="E463" s="2">
        <v>4.6899999999999997E-2</v>
      </c>
      <c r="F463" s="2">
        <v>0.20880000000000001</v>
      </c>
      <c r="G463" s="2">
        <v>3.2300000000000002E-2</v>
      </c>
      <c r="H463" s="2">
        <v>9.1000000000000004E-3</v>
      </c>
      <c r="I463" s="2">
        <v>6.8999999999999999E-3</v>
      </c>
    </row>
    <row r="464" spans="1:9" x14ac:dyDescent="0.35">
      <c r="A464" s="3">
        <v>0.86680000000000001</v>
      </c>
      <c r="B464" s="2">
        <v>0.57509999999999994</v>
      </c>
      <c r="C464" s="2">
        <v>4.6699999999999998E-2</v>
      </c>
      <c r="D464" s="2">
        <v>0.20699999999999999</v>
      </c>
      <c r="E464" s="2">
        <v>4.6899999999999997E-2</v>
      </c>
      <c r="F464" s="2">
        <v>0.20880000000000001</v>
      </c>
      <c r="G464" s="2">
        <v>3.2300000000000002E-2</v>
      </c>
      <c r="H464" s="2">
        <v>9.1000000000000004E-3</v>
      </c>
      <c r="I464" s="2">
        <v>6.8999999999999999E-3</v>
      </c>
    </row>
    <row r="465" spans="1:9" x14ac:dyDescent="0.35">
      <c r="A465" s="3">
        <v>0.87</v>
      </c>
      <c r="B465" s="2">
        <v>0.57430000000000003</v>
      </c>
      <c r="C465" s="2">
        <v>4.7100000000000003E-2</v>
      </c>
      <c r="D465" s="2">
        <v>0.2074</v>
      </c>
      <c r="E465" s="2">
        <v>4.7399999999999998E-2</v>
      </c>
      <c r="F465" s="2">
        <v>0.20930000000000001</v>
      </c>
      <c r="G465" s="2">
        <v>3.2599999999999997E-2</v>
      </c>
      <c r="H465" s="2">
        <v>8.9999999999999993E-3</v>
      </c>
      <c r="I465" s="2">
        <v>7.0000000000000001E-3</v>
      </c>
    </row>
    <row r="466" spans="1:9" x14ac:dyDescent="0.35">
      <c r="A466" s="3">
        <v>0.88</v>
      </c>
      <c r="B466" s="2">
        <v>0.5716</v>
      </c>
      <c r="C466" s="2">
        <v>4.8300000000000003E-2</v>
      </c>
      <c r="D466" s="2">
        <v>0.2087</v>
      </c>
      <c r="E466" s="2">
        <v>4.8800000000000003E-2</v>
      </c>
      <c r="F466" s="2">
        <v>0.21079999999999999</v>
      </c>
      <c r="G466" s="2">
        <v>3.3500000000000002E-2</v>
      </c>
      <c r="H466" s="2">
        <v>8.8999999999999999E-3</v>
      </c>
      <c r="I466" s="2">
        <v>7.0000000000000001E-3</v>
      </c>
    </row>
    <row r="467" spans="1:9" x14ac:dyDescent="0.35">
      <c r="A467" s="3">
        <v>0.88339999999999996</v>
      </c>
      <c r="B467" s="2">
        <v>0.57069999999999999</v>
      </c>
      <c r="C467" s="2">
        <v>4.87E-2</v>
      </c>
      <c r="D467" s="2">
        <v>0.20910000000000001</v>
      </c>
      <c r="E467" s="2">
        <v>4.9299999999999997E-2</v>
      </c>
      <c r="F467" s="2">
        <v>0.2114</v>
      </c>
      <c r="G467" s="2">
        <v>3.3799999999999997E-2</v>
      </c>
      <c r="H467" s="2">
        <v>8.8000000000000005E-3</v>
      </c>
      <c r="I467" s="2">
        <v>7.0000000000000001E-3</v>
      </c>
    </row>
    <row r="468" spans="1:9" x14ac:dyDescent="0.35">
      <c r="A468" s="3">
        <v>0.89339999999999997</v>
      </c>
      <c r="B468" s="2">
        <v>0.56810000000000005</v>
      </c>
      <c r="C468" s="2">
        <v>4.99E-2</v>
      </c>
      <c r="D468" s="2">
        <v>0.21029999999999999</v>
      </c>
      <c r="E468" s="2">
        <v>5.0799999999999998E-2</v>
      </c>
      <c r="F468" s="2">
        <v>0.21290000000000001</v>
      </c>
      <c r="G468" s="2">
        <v>3.4799999999999998E-2</v>
      </c>
      <c r="H468" s="2">
        <v>8.6999999999999994E-3</v>
      </c>
      <c r="I468" s="2">
        <v>7.1000000000000004E-3</v>
      </c>
    </row>
    <row r="469" spans="1:9" x14ac:dyDescent="0.35">
      <c r="A469" s="3">
        <v>0.9</v>
      </c>
      <c r="B469" s="2">
        <v>0.56630000000000003</v>
      </c>
      <c r="C469" s="2">
        <v>5.0799999999999998E-2</v>
      </c>
      <c r="D469" s="2">
        <v>0.2112</v>
      </c>
      <c r="E469" s="2">
        <v>5.1799999999999999E-2</v>
      </c>
      <c r="F469" s="2">
        <v>0.21390000000000001</v>
      </c>
      <c r="G469" s="2">
        <v>3.5400000000000001E-2</v>
      </c>
      <c r="H469" s="2">
        <v>8.6E-3</v>
      </c>
      <c r="I469" s="2">
        <v>7.1000000000000004E-3</v>
      </c>
    </row>
    <row r="470" spans="1:9" x14ac:dyDescent="0.35">
      <c r="A470" s="3">
        <v>0.91</v>
      </c>
      <c r="B470" s="2">
        <v>0.56369999999999998</v>
      </c>
      <c r="C470" s="2">
        <v>5.1999999999999998E-2</v>
      </c>
      <c r="D470" s="2">
        <v>0.21240000000000001</v>
      </c>
      <c r="E470" s="2">
        <v>5.33E-2</v>
      </c>
      <c r="F470" s="2">
        <v>0.2155</v>
      </c>
      <c r="G470" s="2">
        <v>3.6299999999999999E-2</v>
      </c>
      <c r="H470" s="2">
        <v>8.3999999999999995E-3</v>
      </c>
      <c r="I470" s="2">
        <v>7.1000000000000004E-3</v>
      </c>
    </row>
    <row r="471" spans="1:9" x14ac:dyDescent="0.35">
      <c r="A471" s="3">
        <v>0.93340000000000001</v>
      </c>
      <c r="B471" s="2">
        <v>0.55740000000000001</v>
      </c>
      <c r="C471" s="2">
        <v>5.4899999999999997E-2</v>
      </c>
      <c r="D471" s="2">
        <v>0.21529999999999999</v>
      </c>
      <c r="E471" s="2">
        <v>5.6800000000000003E-2</v>
      </c>
      <c r="F471" s="2">
        <v>0.21920000000000001</v>
      </c>
      <c r="G471" s="2">
        <v>3.8600000000000002E-2</v>
      </c>
      <c r="H471" s="2">
        <v>8.0999999999999996E-3</v>
      </c>
      <c r="I471" s="2">
        <v>7.1999999999999998E-3</v>
      </c>
    </row>
    <row r="472" spans="1:9" x14ac:dyDescent="0.35">
      <c r="A472" s="3">
        <v>0.95</v>
      </c>
      <c r="B472" s="2">
        <v>0.55300000000000005</v>
      </c>
      <c r="C472" s="2">
        <v>5.7000000000000002E-2</v>
      </c>
      <c r="D472" s="2">
        <v>0.21740000000000001</v>
      </c>
      <c r="E472" s="2">
        <v>5.9400000000000001E-2</v>
      </c>
      <c r="F472" s="2">
        <v>0.2218</v>
      </c>
      <c r="G472" s="2">
        <v>4.0300000000000002E-2</v>
      </c>
      <c r="H472" s="2">
        <v>7.9000000000000008E-3</v>
      </c>
      <c r="I472" s="2">
        <v>7.3000000000000001E-3</v>
      </c>
    </row>
    <row r="473" spans="1:9" x14ac:dyDescent="0.35">
      <c r="A473" s="3">
        <v>0.96</v>
      </c>
      <c r="B473" s="2">
        <v>0.55030000000000001</v>
      </c>
      <c r="C473" s="2">
        <v>5.8299999999999998E-2</v>
      </c>
      <c r="D473" s="2">
        <v>0.21859999999999999</v>
      </c>
      <c r="E473" s="2">
        <v>6.0999999999999999E-2</v>
      </c>
      <c r="F473" s="2">
        <v>0.2233</v>
      </c>
      <c r="G473" s="2">
        <v>4.1300000000000003E-2</v>
      </c>
      <c r="H473" s="2">
        <v>7.7000000000000002E-3</v>
      </c>
      <c r="I473" s="2">
        <v>7.3000000000000001E-3</v>
      </c>
    </row>
    <row r="474" spans="1:9" x14ac:dyDescent="0.35">
      <c r="A474" s="3">
        <v>1</v>
      </c>
      <c r="B474" s="2">
        <v>0.53949999999999998</v>
      </c>
      <c r="C474" s="2">
        <v>6.3399999999999998E-2</v>
      </c>
      <c r="D474" s="2">
        <v>0.22359999999999999</v>
      </c>
      <c r="E474" s="2">
        <v>6.7299999999999999E-2</v>
      </c>
      <c r="F474" s="2">
        <v>0.22969999999999999</v>
      </c>
      <c r="G474" s="2">
        <v>4.5600000000000002E-2</v>
      </c>
      <c r="H474" s="2">
        <v>7.1999999999999998E-3</v>
      </c>
      <c r="I474" s="2">
        <v>7.4000000000000003E-3</v>
      </c>
    </row>
    <row r="475" spans="1:9" x14ac:dyDescent="0.35">
      <c r="A475" s="23"/>
      <c r="B475" s="24"/>
      <c r="C475" s="24"/>
      <c r="D475" s="24"/>
      <c r="E475" s="24"/>
      <c r="F475" s="24"/>
      <c r="G475" s="24"/>
      <c r="H475" s="24"/>
      <c r="I475" s="25"/>
    </row>
    <row r="476" spans="1:9" x14ac:dyDescent="0.35">
      <c r="A476" s="2"/>
      <c r="B476" s="20" t="s">
        <v>116</v>
      </c>
      <c r="C476" s="21"/>
      <c r="D476" s="21"/>
      <c r="E476" s="21"/>
      <c r="F476" s="21"/>
      <c r="G476" s="21"/>
      <c r="H476" s="21"/>
      <c r="I476" s="22"/>
    </row>
    <row r="477" spans="1:9" x14ac:dyDescent="0.35">
      <c r="A477" s="3" t="s">
        <v>110</v>
      </c>
      <c r="B477" s="3" t="s">
        <v>88</v>
      </c>
      <c r="C477" s="3" t="s">
        <v>105</v>
      </c>
      <c r="D477" s="3" t="s">
        <v>90</v>
      </c>
      <c r="E477" s="3" t="s">
        <v>105</v>
      </c>
      <c r="F477" s="3" t="s">
        <v>91</v>
      </c>
      <c r="G477" s="3" t="s">
        <v>105</v>
      </c>
      <c r="H477" s="3" t="s">
        <v>92</v>
      </c>
      <c r="I477" s="3" t="s">
        <v>105</v>
      </c>
    </row>
    <row r="478" spans="1:9" x14ac:dyDescent="0.35">
      <c r="A478" s="3">
        <v>1</v>
      </c>
      <c r="B478" s="2">
        <v>0.95289999999999997</v>
      </c>
      <c r="C478" s="2" t="s">
        <v>11</v>
      </c>
      <c r="D478" s="2">
        <v>3.7100000000000001E-2</v>
      </c>
      <c r="E478" s="2" t="s">
        <v>11</v>
      </c>
      <c r="F478" s="2">
        <v>9.4999999999999998E-3</v>
      </c>
      <c r="G478" s="2" t="s">
        <v>11</v>
      </c>
      <c r="H478" s="2">
        <v>5.0000000000000001E-4</v>
      </c>
      <c r="I478" s="2" t="s">
        <v>11</v>
      </c>
    </row>
    <row r="479" spans="1:9" x14ac:dyDescent="0.35">
      <c r="A479" s="3">
        <v>2</v>
      </c>
      <c r="B479" s="2">
        <v>0.1469</v>
      </c>
      <c r="C479" s="2" t="s">
        <v>11</v>
      </c>
      <c r="D479" s="2">
        <v>0.80220000000000002</v>
      </c>
      <c r="E479" s="2" t="s">
        <v>11</v>
      </c>
      <c r="F479" s="2">
        <v>5.0700000000000002E-2</v>
      </c>
      <c r="G479" s="2" t="s">
        <v>11</v>
      </c>
      <c r="H479" s="2">
        <v>2.0000000000000001E-4</v>
      </c>
      <c r="I479" s="2" t="s">
        <v>11</v>
      </c>
    </row>
    <row r="480" spans="1:9" x14ac:dyDescent="0.35">
      <c r="A480" s="3">
        <v>3</v>
      </c>
      <c r="B480" s="2">
        <v>3.8800000000000001E-2</v>
      </c>
      <c r="C480" s="2" t="s">
        <v>11</v>
      </c>
      <c r="D480" s="2">
        <v>5.2499999999999998E-2</v>
      </c>
      <c r="E480" s="2" t="s">
        <v>11</v>
      </c>
      <c r="F480" s="2">
        <v>0.90569999999999995</v>
      </c>
      <c r="G480" s="2" t="s">
        <v>11</v>
      </c>
      <c r="H480" s="2">
        <v>3.0000000000000001E-3</v>
      </c>
      <c r="I480" s="2" t="s">
        <v>11</v>
      </c>
    </row>
    <row r="481" spans="1:9" x14ac:dyDescent="0.35">
      <c r="A481" s="3">
        <v>4</v>
      </c>
      <c r="B481" s="2">
        <v>1.9400000000000001E-2</v>
      </c>
      <c r="C481" s="2" t="s">
        <v>11</v>
      </c>
      <c r="D481" s="2">
        <v>2E-3</v>
      </c>
      <c r="E481" s="2" t="s">
        <v>11</v>
      </c>
      <c r="F481" s="2">
        <v>2.9399999999999999E-2</v>
      </c>
      <c r="G481" s="2" t="s">
        <v>11</v>
      </c>
      <c r="H481" s="2">
        <v>0.94920000000000004</v>
      </c>
      <c r="I481" s="2" t="s">
        <v>11</v>
      </c>
    </row>
  </sheetData>
  <mergeCells count="5">
    <mergeCell ref="A3:F3"/>
    <mergeCell ref="B69:F69"/>
    <mergeCell ref="B218:I218"/>
    <mergeCell ref="A475:I475"/>
    <mergeCell ref="B476:I476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P244"/>
  <sheetViews>
    <sheetView topLeftCell="A214" workbookViewId="0"/>
  </sheetViews>
  <sheetFormatPr defaultRowHeight="14.5" x14ac:dyDescent="0.35"/>
  <cols>
    <col min="1" max="1" width="30.453125" bestFit="1" customWidth="1"/>
    <col min="2" max="2" width="12.1796875" bestFit="1" customWidth="1"/>
    <col min="3" max="3" width="11.54296875" bestFit="1" customWidth="1"/>
    <col min="4" max="4" width="10.54296875" bestFit="1" customWidth="1"/>
    <col min="5" max="5" width="11.54296875" bestFit="1" customWidth="1"/>
    <col min="6" max="6" width="9.54296875" bestFit="1" customWidth="1"/>
    <col min="7" max="7" width="11.54296875" bestFit="1" customWidth="1"/>
    <col min="8" max="8" width="8.26953125" bestFit="1" customWidth="1"/>
    <col min="9" max="9" width="11.54296875" bestFit="1" customWidth="1"/>
    <col min="10" max="11" width="8.26953125" bestFit="1" customWidth="1"/>
    <col min="12" max="12" width="11.54296875" bestFit="1" customWidth="1"/>
    <col min="13" max="13" width="8.26953125" bestFit="1" customWidth="1"/>
    <col min="14" max="14" width="10.81640625" bestFit="1" customWidth="1"/>
  </cols>
  <sheetData>
    <row r="1" spans="1:6" ht="17.5" x14ac:dyDescent="0.35">
      <c r="A1" s="1" t="s">
        <v>203</v>
      </c>
    </row>
    <row r="3" spans="1:6" x14ac:dyDescent="0.35">
      <c r="A3" s="20" t="s">
        <v>0</v>
      </c>
      <c r="B3" s="21"/>
      <c r="C3" s="21"/>
      <c r="D3" s="21"/>
      <c r="E3" s="21"/>
      <c r="F3" s="22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13388</v>
      </c>
      <c r="C5" s="2"/>
      <c r="D5" s="2"/>
      <c r="E5" s="2"/>
      <c r="F5" s="2"/>
    </row>
    <row r="6" spans="1:6" x14ac:dyDescent="0.35">
      <c r="A6" s="3" t="s">
        <v>2</v>
      </c>
      <c r="B6" s="2">
        <v>30</v>
      </c>
      <c r="C6" s="2"/>
      <c r="D6" s="2"/>
      <c r="E6" s="2"/>
      <c r="F6" s="2"/>
    </row>
    <row r="7" spans="1:6" x14ac:dyDescent="0.35">
      <c r="A7" s="3" t="s">
        <v>3</v>
      </c>
      <c r="B7" s="2">
        <v>693072035.39219999</v>
      </c>
      <c r="C7" s="2"/>
      <c r="D7" s="2"/>
      <c r="E7" s="2"/>
      <c r="F7" s="2"/>
    </row>
    <row r="8" spans="1:6" x14ac:dyDescent="0.35">
      <c r="A8" s="3" t="s">
        <v>4</v>
      </c>
      <c r="B8" s="2">
        <v>693072035.39219999</v>
      </c>
      <c r="C8" s="2"/>
      <c r="D8" s="2"/>
      <c r="E8" s="2"/>
      <c r="F8" s="2"/>
    </row>
    <row r="9" spans="1:6" x14ac:dyDescent="0.35">
      <c r="A9" s="3" t="s">
        <v>5</v>
      </c>
      <c r="B9" s="2">
        <v>107879</v>
      </c>
      <c r="C9" s="2"/>
      <c r="D9" s="2"/>
      <c r="E9" s="2"/>
      <c r="F9" s="2"/>
    </row>
    <row r="10" spans="1:6" x14ac:dyDescent="0.35">
      <c r="A10" s="3" t="s">
        <v>6</v>
      </c>
      <c r="B10" s="2">
        <v>107879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1.0790999999999999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0.71379999999999999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0.8075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1.0790999999999999</v>
      </c>
      <c r="C17" s="2"/>
      <c r="D17" s="2"/>
      <c r="E17" s="2"/>
      <c r="F17" s="2"/>
    </row>
    <row r="18" spans="1:6" x14ac:dyDescent="0.35">
      <c r="A18" s="3" t="s">
        <v>15</v>
      </c>
      <c r="B18" s="2">
        <v>1.0790999999999999</v>
      </c>
      <c r="C18" s="2"/>
      <c r="D18" s="2"/>
      <c r="E18" s="2"/>
      <c r="F18" s="2"/>
    </row>
    <row r="19" spans="1:6" x14ac:dyDescent="0.35">
      <c r="A19" s="3" t="s">
        <v>16</v>
      </c>
      <c r="B19" s="2">
        <v>1.0790999999999999</v>
      </c>
      <c r="C19" s="2"/>
      <c r="D19" s="2"/>
      <c r="E19" s="2"/>
      <c r="F19" s="2"/>
    </row>
    <row r="20" spans="1:6" x14ac:dyDescent="0.35">
      <c r="A20" s="3" t="s">
        <v>17</v>
      </c>
      <c r="B20" s="2">
        <v>1.0790999999999999</v>
      </c>
      <c r="C20" s="2"/>
      <c r="D20" s="2"/>
      <c r="E20" s="2"/>
      <c r="F20" s="2"/>
    </row>
    <row r="21" spans="1:6" x14ac:dyDescent="0.35">
      <c r="A21" s="3" t="s">
        <v>18</v>
      </c>
      <c r="B21" s="2">
        <v>1.0790999999999999</v>
      </c>
      <c r="C21" s="2"/>
      <c r="D21" s="2"/>
      <c r="E21" s="2"/>
      <c r="F21" s="2"/>
    </row>
    <row r="22" spans="1:6" x14ac:dyDescent="0.35">
      <c r="A22" s="3" t="s">
        <v>19</v>
      </c>
      <c r="B22" s="2">
        <v>1E-4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-12289.825199999999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-12289.825199999999</v>
      </c>
      <c r="C27" s="2"/>
      <c r="D27" s="2"/>
      <c r="E27" s="2"/>
      <c r="F27" s="2"/>
    </row>
    <row r="28" spans="1:6" x14ac:dyDescent="0.35">
      <c r="A28" s="3" t="s">
        <v>24</v>
      </c>
      <c r="B28" s="2">
        <v>24864.713800000001</v>
      </c>
      <c r="C28" s="2"/>
      <c r="D28" s="2"/>
      <c r="E28" s="2"/>
      <c r="F28" s="2"/>
    </row>
    <row r="29" spans="1:6" x14ac:dyDescent="0.35">
      <c r="A29" s="3" t="s">
        <v>25</v>
      </c>
      <c r="B29" s="2">
        <v>24639.650300000001</v>
      </c>
      <c r="C29" s="2"/>
      <c r="D29" s="2"/>
      <c r="E29" s="2"/>
      <c r="F29" s="2"/>
    </row>
    <row r="30" spans="1:6" x14ac:dyDescent="0.35">
      <c r="A30" s="3" t="s">
        <v>26</v>
      </c>
      <c r="B30" s="2">
        <v>24669.650300000001</v>
      </c>
      <c r="C30" s="2"/>
      <c r="D30" s="2"/>
      <c r="E30" s="2"/>
      <c r="F30" s="2"/>
    </row>
    <row r="31" spans="1:6" x14ac:dyDescent="0.35">
      <c r="A31" s="3" t="s">
        <v>27</v>
      </c>
      <c r="B31" s="2">
        <v>24894.713800000001</v>
      </c>
      <c r="C31" s="2"/>
      <c r="D31" s="2"/>
      <c r="E31" s="2"/>
      <c r="F31" s="2"/>
    </row>
    <row r="32" spans="1:6" x14ac:dyDescent="0.35">
      <c r="A32" s="3" t="s">
        <v>28</v>
      </c>
      <c r="B32" s="2">
        <v>24769.3766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0.34260000000000002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2.3300000000000001E-2</v>
      </c>
      <c r="C38" s="2"/>
      <c r="D38" s="2"/>
      <c r="E38" s="2"/>
      <c r="F38" s="2"/>
    </row>
    <row r="39" spans="1:6" x14ac:dyDescent="0.35">
      <c r="A39" s="3" t="s">
        <v>33</v>
      </c>
      <c r="B39" s="2">
        <v>1.84E-2</v>
      </c>
      <c r="C39" s="2"/>
      <c r="D39" s="2"/>
      <c r="E39" s="2"/>
      <c r="F39" s="2"/>
    </row>
    <row r="40" spans="1:6" x14ac:dyDescent="0.35">
      <c r="A40" s="3" t="s">
        <v>34</v>
      </c>
      <c r="B40" s="2">
        <v>-24515.261299999998</v>
      </c>
      <c r="C40" s="2"/>
      <c r="D40" s="2"/>
      <c r="E40" s="2"/>
      <c r="F40" s="2"/>
    </row>
    <row r="41" spans="1:6" x14ac:dyDescent="0.35">
      <c r="A41" s="3" t="s">
        <v>35</v>
      </c>
      <c r="B41" s="2">
        <v>12225.436100000001</v>
      </c>
      <c r="C41" s="2"/>
      <c r="D41" s="2"/>
      <c r="E41" s="2"/>
      <c r="F41" s="2"/>
    </row>
    <row r="42" spans="1:6" x14ac:dyDescent="0.35">
      <c r="A42" s="3" t="s">
        <v>36</v>
      </c>
      <c r="B42" s="2">
        <v>49030.522599999997</v>
      </c>
      <c r="C42" s="2"/>
      <c r="D42" s="2"/>
      <c r="E42" s="2"/>
      <c r="F42" s="2"/>
    </row>
    <row r="43" spans="1:6" x14ac:dyDescent="0.35">
      <c r="A43" s="3" t="s">
        <v>37</v>
      </c>
      <c r="B43" s="2">
        <v>49690.649400000002</v>
      </c>
      <c r="C43" s="2"/>
      <c r="D43" s="2"/>
      <c r="E43" s="2"/>
      <c r="F43" s="2"/>
    </row>
    <row r="44" spans="1:6" x14ac:dyDescent="0.35">
      <c r="A44" s="3" t="s">
        <v>38</v>
      </c>
      <c r="B44" s="2">
        <v>49315.586000000003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8801.6412999999993</v>
      </c>
      <c r="C48" s="2">
        <v>0</v>
      </c>
      <c r="D48" s="2">
        <v>0</v>
      </c>
      <c r="E48" s="2">
        <v>0</v>
      </c>
      <c r="F48" s="2">
        <v>8801.6412999999993</v>
      </c>
    </row>
    <row r="49" spans="1:6" x14ac:dyDescent="0.35">
      <c r="A49" s="3" t="s">
        <v>43</v>
      </c>
      <c r="B49" s="2">
        <v>2224.4204</v>
      </c>
      <c r="C49" s="2">
        <v>0</v>
      </c>
      <c r="D49" s="2">
        <v>0</v>
      </c>
      <c r="E49" s="2">
        <v>0</v>
      </c>
      <c r="F49" s="2">
        <v>2224.4204</v>
      </c>
    </row>
    <row r="50" spans="1:6" x14ac:dyDescent="0.35">
      <c r="A50" s="3" t="s">
        <v>44</v>
      </c>
      <c r="B50" s="2">
        <v>2140.4506999999999</v>
      </c>
      <c r="C50" s="2">
        <v>0</v>
      </c>
      <c r="D50" s="2">
        <v>0</v>
      </c>
      <c r="E50" s="2">
        <v>0</v>
      </c>
      <c r="F50" s="2">
        <v>2140.4506999999999</v>
      </c>
    </row>
    <row r="51" spans="1:6" x14ac:dyDescent="0.35">
      <c r="A51" s="3" t="s">
        <v>45</v>
      </c>
      <c r="B51" s="2">
        <v>221.48759999999999</v>
      </c>
      <c r="C51" s="2">
        <v>0</v>
      </c>
      <c r="D51" s="2">
        <v>0</v>
      </c>
      <c r="E51" s="2">
        <v>0</v>
      </c>
      <c r="F51" s="2">
        <v>221.48759999999999</v>
      </c>
    </row>
    <row r="52" spans="1:6" x14ac:dyDescent="0.35">
      <c r="A52" s="3" t="s">
        <v>46</v>
      </c>
      <c r="B52" s="2">
        <v>13388</v>
      </c>
      <c r="C52" s="2">
        <v>0</v>
      </c>
      <c r="D52" s="2">
        <v>0</v>
      </c>
      <c r="E52" s="2">
        <v>0</v>
      </c>
      <c r="F52" s="2">
        <v>13388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5847.1538</v>
      </c>
      <c r="C56" s="2">
        <v>1439.2179000000001</v>
      </c>
      <c r="D56" s="2">
        <v>1372.0921000000001</v>
      </c>
      <c r="E56" s="2">
        <v>143.17760000000001</v>
      </c>
      <c r="F56" s="2">
        <v>8801.6412999999993</v>
      </c>
    </row>
    <row r="57" spans="1:6" x14ac:dyDescent="0.35">
      <c r="A57" s="3" t="s">
        <v>43</v>
      </c>
      <c r="B57" s="2">
        <v>1439.2179000000001</v>
      </c>
      <c r="C57" s="2">
        <v>394.73489999999998</v>
      </c>
      <c r="D57" s="2">
        <v>352.61630000000002</v>
      </c>
      <c r="E57" s="2">
        <v>37.851199999999999</v>
      </c>
      <c r="F57" s="2">
        <v>2224.4204</v>
      </c>
    </row>
    <row r="58" spans="1:6" x14ac:dyDescent="0.35">
      <c r="A58" s="3" t="s">
        <v>44</v>
      </c>
      <c r="B58" s="2">
        <v>1372.0921000000001</v>
      </c>
      <c r="C58" s="2">
        <v>352.61630000000002</v>
      </c>
      <c r="D58" s="2">
        <v>381.04430000000002</v>
      </c>
      <c r="E58" s="2">
        <v>34.698</v>
      </c>
      <c r="F58" s="2">
        <v>2140.4506999999999</v>
      </c>
    </row>
    <row r="59" spans="1:6" x14ac:dyDescent="0.35">
      <c r="A59" s="3" t="s">
        <v>45</v>
      </c>
      <c r="B59" s="2">
        <v>143.17760000000001</v>
      </c>
      <c r="C59" s="2">
        <v>37.851199999999999</v>
      </c>
      <c r="D59" s="2">
        <v>34.698</v>
      </c>
      <c r="E59" s="2">
        <v>5.7607999999999997</v>
      </c>
      <c r="F59" s="2">
        <v>221.48759999999999</v>
      </c>
    </row>
    <row r="60" spans="1:6" x14ac:dyDescent="0.35">
      <c r="A60" s="3" t="s">
        <v>46</v>
      </c>
      <c r="B60" s="2">
        <v>8801.6412999999993</v>
      </c>
      <c r="C60" s="2">
        <v>2224.4204</v>
      </c>
      <c r="D60" s="2">
        <v>2140.4506999999999</v>
      </c>
      <c r="E60" s="2">
        <v>221.48759999999999</v>
      </c>
      <c r="F60" s="2">
        <v>13388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0.34260000000000002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2.3300000000000001E-2</v>
      </c>
      <c r="C65" s="2"/>
      <c r="D65" s="2"/>
      <c r="E65" s="2"/>
      <c r="F65" s="2"/>
    </row>
    <row r="66" spans="1:6" x14ac:dyDescent="0.35">
      <c r="A66" s="3" t="s">
        <v>33</v>
      </c>
      <c r="B66" s="2">
        <v>1.84E-2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23" t="s">
        <v>202</v>
      </c>
      <c r="C69" s="24"/>
      <c r="D69" s="24"/>
      <c r="E69" s="24"/>
      <c r="F69" s="25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52</v>
      </c>
      <c r="B71" s="2"/>
      <c r="C71" s="2"/>
      <c r="D71" s="2"/>
      <c r="E71" s="2"/>
      <c r="F71" s="2"/>
    </row>
    <row r="72" spans="1:6" x14ac:dyDescent="0.35">
      <c r="A72" s="3" t="s">
        <v>53</v>
      </c>
      <c r="B72" s="2">
        <v>4</v>
      </c>
      <c r="C72" s="2"/>
      <c r="D72" s="2"/>
      <c r="E72" s="2"/>
      <c r="F72" s="2"/>
    </row>
    <row r="73" spans="1:6" x14ac:dyDescent="0.35">
      <c r="A73" s="3" t="s">
        <v>54</v>
      </c>
      <c r="B73" s="2"/>
      <c r="C73" s="2"/>
      <c r="D73" s="2"/>
      <c r="E73" s="2"/>
      <c r="F73" s="2"/>
    </row>
    <row r="74" spans="1:6" x14ac:dyDescent="0.35">
      <c r="A74" s="3" t="s">
        <v>55</v>
      </c>
      <c r="B74" s="4">
        <v>1E-8</v>
      </c>
      <c r="C74" s="2"/>
      <c r="D74" s="2"/>
      <c r="E74" s="2"/>
      <c r="F74" s="2"/>
    </row>
    <row r="75" spans="1:6" x14ac:dyDescent="0.35">
      <c r="A75" s="3" t="s">
        <v>56</v>
      </c>
      <c r="B75" s="2">
        <v>0.01</v>
      </c>
      <c r="C75" s="2"/>
      <c r="D75" s="2"/>
      <c r="E75" s="2"/>
      <c r="F75" s="2"/>
    </row>
    <row r="76" spans="1:6" x14ac:dyDescent="0.35">
      <c r="A76" s="3" t="s">
        <v>57</v>
      </c>
      <c r="B76" s="2">
        <v>250</v>
      </c>
      <c r="C76" s="2"/>
      <c r="D76" s="2"/>
      <c r="E76" s="2"/>
      <c r="F76" s="2"/>
    </row>
    <row r="77" spans="1:6" x14ac:dyDescent="0.35">
      <c r="A77" s="3" t="s">
        <v>58</v>
      </c>
      <c r="B77" s="2">
        <v>50</v>
      </c>
      <c r="C77" s="2"/>
      <c r="D77" s="2"/>
      <c r="E77" s="2"/>
      <c r="F77" s="2"/>
    </row>
    <row r="78" spans="1:6" x14ac:dyDescent="0.35">
      <c r="A78" s="3" t="s">
        <v>59</v>
      </c>
      <c r="B78" s="2"/>
      <c r="C78" s="2"/>
      <c r="D78" s="2"/>
      <c r="E78" s="2"/>
      <c r="F78" s="2"/>
    </row>
    <row r="79" spans="1:6" x14ac:dyDescent="0.35">
      <c r="A79" s="3" t="s">
        <v>60</v>
      </c>
      <c r="B79" s="2">
        <v>0</v>
      </c>
      <c r="C79" s="2"/>
      <c r="D79" s="2"/>
      <c r="E79" s="2"/>
      <c r="F79" s="2"/>
    </row>
    <row r="80" spans="1:6" x14ac:dyDescent="0.35">
      <c r="A80" s="3" t="s">
        <v>61</v>
      </c>
      <c r="B80" s="2">
        <v>200</v>
      </c>
      <c r="C80" s="2"/>
      <c r="D80" s="2"/>
      <c r="E80" s="2"/>
      <c r="F80" s="2"/>
    </row>
    <row r="81" spans="1:6" x14ac:dyDescent="0.3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62</v>
      </c>
      <c r="B82" s="2">
        <v>150</v>
      </c>
      <c r="C82" s="2"/>
      <c r="D82" s="2"/>
      <c r="E82" s="2"/>
      <c r="F82" s="2"/>
    </row>
    <row r="83" spans="1:6" x14ac:dyDescent="0.35">
      <c r="A83" s="3" t="s">
        <v>63</v>
      </c>
      <c r="B83" s="2"/>
      <c r="C83" s="2"/>
      <c r="D83" s="2"/>
      <c r="E83" s="2"/>
      <c r="F83" s="2"/>
    </row>
    <row r="84" spans="1:6" x14ac:dyDescent="0.35">
      <c r="A84" s="3" t="s">
        <v>64</v>
      </c>
      <c r="B84" s="2">
        <v>1</v>
      </c>
      <c r="C84" s="2"/>
      <c r="D84" s="2"/>
      <c r="E84" s="2"/>
      <c r="F84" s="2"/>
    </row>
    <row r="85" spans="1:6" x14ac:dyDescent="0.35">
      <c r="A85" s="3" t="s">
        <v>65</v>
      </c>
      <c r="B85" s="2">
        <v>1</v>
      </c>
      <c r="C85" s="2"/>
      <c r="D85" s="2"/>
      <c r="E85" s="2"/>
      <c r="F85" s="2"/>
    </row>
    <row r="86" spans="1:6" x14ac:dyDescent="0.35">
      <c r="A86" s="3" t="s">
        <v>66</v>
      </c>
      <c r="B86" s="2">
        <v>0</v>
      </c>
      <c r="C86" s="2"/>
      <c r="D86" s="2"/>
      <c r="E86" s="2"/>
      <c r="F86" s="2"/>
    </row>
    <row r="87" spans="1:6" x14ac:dyDescent="0.35">
      <c r="A87" s="3" t="s">
        <v>67</v>
      </c>
      <c r="B87" s="2">
        <v>1</v>
      </c>
      <c r="C87" s="2"/>
      <c r="D87" s="2"/>
      <c r="E87" s="2"/>
      <c r="F87" s="2"/>
    </row>
    <row r="88" spans="1:6" x14ac:dyDescent="0.35">
      <c r="A88" s="3" t="s">
        <v>68</v>
      </c>
      <c r="B88" s="2"/>
      <c r="C88" s="2"/>
      <c r="D88" s="2"/>
      <c r="E88" s="2"/>
      <c r="F88" s="2"/>
    </row>
    <row r="89" spans="1:6" x14ac:dyDescent="0.35">
      <c r="A89" s="3" t="s">
        <v>69</v>
      </c>
      <c r="B89" s="2">
        <v>10</v>
      </c>
      <c r="C89" s="2"/>
      <c r="D89" s="2"/>
      <c r="E89" s="2"/>
      <c r="F89" s="2"/>
    </row>
    <row r="90" spans="1:6" x14ac:dyDescent="0.3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35">
      <c r="A91" s="3" t="s">
        <v>72</v>
      </c>
      <c r="B91" s="2"/>
      <c r="C91" s="2"/>
      <c r="D91" s="2"/>
      <c r="E91" s="2"/>
      <c r="F91" s="2"/>
    </row>
    <row r="92" spans="1:6" x14ac:dyDescent="0.3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3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3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35">
      <c r="A95" s="3" t="s">
        <v>79</v>
      </c>
      <c r="B95" s="2"/>
      <c r="C95" s="2"/>
      <c r="D95" s="2"/>
      <c r="E95" s="2"/>
      <c r="F95" s="2"/>
    </row>
    <row r="96" spans="1:6" x14ac:dyDescent="0.3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3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35">
      <c r="A98" s="3" t="s">
        <v>84</v>
      </c>
      <c r="B98" s="2">
        <v>13388</v>
      </c>
      <c r="C98" s="2"/>
      <c r="D98" s="2"/>
      <c r="E98" s="2"/>
      <c r="F98" s="2"/>
    </row>
    <row r="99" spans="1:6" x14ac:dyDescent="0.3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86</v>
      </c>
      <c r="B101" s="2"/>
      <c r="C101" s="2"/>
      <c r="D101" s="2"/>
      <c r="E101" s="2"/>
      <c r="F101" s="2"/>
    </row>
    <row r="102" spans="1:6" x14ac:dyDescent="0.35">
      <c r="A102" s="3" t="s">
        <v>87</v>
      </c>
      <c r="B102" s="2"/>
      <c r="C102" s="2"/>
      <c r="D102" s="2"/>
      <c r="E102" s="2"/>
      <c r="F102" s="2"/>
    </row>
    <row r="103" spans="1:6" x14ac:dyDescent="0.35">
      <c r="A103" s="3" t="s">
        <v>88</v>
      </c>
      <c r="B103" s="2"/>
      <c r="C103" s="2">
        <v>711</v>
      </c>
      <c r="D103" s="2"/>
      <c r="E103" s="2"/>
      <c r="F103" s="2"/>
    </row>
    <row r="104" spans="1:6" x14ac:dyDescent="0.3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3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3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3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35">
      <c r="A108" s="3" t="s">
        <v>89</v>
      </c>
      <c r="B108" s="2"/>
      <c r="C108" s="2"/>
      <c r="D108" s="2"/>
      <c r="E108" s="2"/>
      <c r="F108" s="2"/>
    </row>
    <row r="109" spans="1:6" x14ac:dyDescent="0.3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3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3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35">
      <c r="A112" s="3" t="s">
        <v>90</v>
      </c>
      <c r="B112" s="2"/>
      <c r="C112" s="2">
        <v>711</v>
      </c>
      <c r="D112" s="2"/>
      <c r="E112" s="2"/>
      <c r="F112" s="2"/>
    </row>
    <row r="113" spans="1:6" x14ac:dyDescent="0.3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3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3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3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35">
      <c r="A117" s="3" t="s">
        <v>89</v>
      </c>
      <c r="B117" s="2"/>
      <c r="C117" s="2"/>
      <c r="D117" s="2"/>
      <c r="E117" s="2"/>
      <c r="F117" s="2"/>
    </row>
    <row r="118" spans="1:6" x14ac:dyDescent="0.3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3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35">
      <c r="A121" s="3" t="s">
        <v>91</v>
      </c>
      <c r="B121" s="2"/>
      <c r="C121" s="2">
        <v>711</v>
      </c>
      <c r="D121" s="2"/>
      <c r="E121" s="2"/>
      <c r="F121" s="2"/>
    </row>
    <row r="122" spans="1:6" x14ac:dyDescent="0.3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3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3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3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35">
      <c r="A126" s="3" t="s">
        <v>89</v>
      </c>
      <c r="B126" s="2"/>
      <c r="C126" s="2"/>
      <c r="D126" s="2"/>
      <c r="E126" s="2"/>
      <c r="F126" s="2"/>
    </row>
    <row r="127" spans="1:6" x14ac:dyDescent="0.3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3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3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35">
      <c r="A130" s="3" t="s">
        <v>92</v>
      </c>
      <c r="B130" s="2"/>
      <c r="C130" s="2">
        <v>711</v>
      </c>
      <c r="D130" s="2"/>
      <c r="E130" s="2"/>
      <c r="F130" s="2"/>
    </row>
    <row r="131" spans="1:6" x14ac:dyDescent="0.3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3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3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3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35">
      <c r="A135" s="3" t="s">
        <v>89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3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3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35">
      <c r="A139" s="3" t="s">
        <v>93</v>
      </c>
      <c r="B139" s="2"/>
      <c r="C139" s="2"/>
      <c r="D139" s="2"/>
      <c r="E139" s="2"/>
      <c r="F139" s="2"/>
    </row>
    <row r="140" spans="1:6" x14ac:dyDescent="0.35">
      <c r="A140" s="3" t="s">
        <v>204</v>
      </c>
      <c r="B140" s="2" t="s">
        <v>95</v>
      </c>
      <c r="C140" s="2">
        <v>10</v>
      </c>
      <c r="D140" s="2"/>
      <c r="E140" s="2"/>
      <c r="F140" s="2"/>
    </row>
    <row r="141" spans="1:6" x14ac:dyDescent="0.35">
      <c r="A141" s="3">
        <v>45</v>
      </c>
      <c r="B141" s="2">
        <v>45</v>
      </c>
      <c r="C141" s="2"/>
      <c r="D141" s="2"/>
      <c r="E141" s="2"/>
      <c r="F141" s="2"/>
    </row>
    <row r="142" spans="1:6" x14ac:dyDescent="0.35">
      <c r="A142" s="3">
        <v>1516</v>
      </c>
      <c r="B142" s="2">
        <v>1516</v>
      </c>
      <c r="C142" s="2"/>
      <c r="D142" s="2"/>
      <c r="E142" s="2"/>
      <c r="F142" s="2"/>
    </row>
    <row r="143" spans="1:6" x14ac:dyDescent="0.35">
      <c r="A143" s="3">
        <v>2728</v>
      </c>
      <c r="B143" s="2">
        <v>2728</v>
      </c>
      <c r="C143" s="2"/>
      <c r="D143" s="2"/>
      <c r="E143" s="2"/>
      <c r="F143" s="2"/>
    </row>
    <row r="144" spans="1:6" x14ac:dyDescent="0.35">
      <c r="A144" s="3">
        <v>6472</v>
      </c>
      <c r="B144" s="2">
        <v>6472</v>
      </c>
      <c r="C144" s="2"/>
      <c r="D144" s="2"/>
      <c r="E144" s="2"/>
      <c r="F144" s="2"/>
    </row>
    <row r="145" spans="1:16" x14ac:dyDescent="0.35">
      <c r="A145" s="3">
        <v>171819</v>
      </c>
      <c r="B145" s="2">
        <v>171819</v>
      </c>
      <c r="C145" s="2"/>
      <c r="D145" s="2"/>
      <c r="E145" s="2"/>
      <c r="F145" s="2"/>
    </row>
    <row r="146" spans="1:16" x14ac:dyDescent="0.35">
      <c r="A146" s="3">
        <v>242526</v>
      </c>
      <c r="B146" s="2">
        <v>242526</v>
      </c>
      <c r="C146" s="2"/>
      <c r="D146" s="2"/>
      <c r="E146" s="2"/>
      <c r="F146" s="2"/>
    </row>
    <row r="147" spans="1:16" x14ac:dyDescent="0.35">
      <c r="A147" s="3">
        <v>606162</v>
      </c>
      <c r="B147" s="2">
        <v>606162</v>
      </c>
      <c r="C147" s="2"/>
      <c r="D147" s="2"/>
      <c r="E147" s="2"/>
      <c r="F147" s="2"/>
    </row>
    <row r="148" spans="1:16" x14ac:dyDescent="0.35">
      <c r="A148" s="3">
        <v>20362122</v>
      </c>
      <c r="B148" s="2">
        <v>20362122</v>
      </c>
      <c r="C148" s="2"/>
      <c r="D148" s="2"/>
      <c r="E148" s="2"/>
      <c r="F148" s="2"/>
    </row>
    <row r="149" spans="1:16" x14ac:dyDescent="0.35">
      <c r="A149" s="5">
        <v>5052000000</v>
      </c>
      <c r="B149" s="4">
        <v>5051525600</v>
      </c>
      <c r="C149" s="2"/>
      <c r="D149" s="2"/>
      <c r="E149" s="2"/>
      <c r="F149" s="2"/>
    </row>
    <row r="150" spans="1:16" x14ac:dyDescent="0.35">
      <c r="A150" s="5">
        <v>293100000000</v>
      </c>
      <c r="B150" s="4">
        <v>293132330000</v>
      </c>
      <c r="C150" s="2"/>
      <c r="D150" s="2"/>
      <c r="E150" s="2"/>
      <c r="F150" s="2"/>
    </row>
    <row r="152" spans="1:16" ht="17.5" x14ac:dyDescent="0.35">
      <c r="A152" s="1" t="s">
        <v>102</v>
      </c>
    </row>
    <row r="154" spans="1:16" x14ac:dyDescent="0.35">
      <c r="A154" s="3" t="s">
        <v>103</v>
      </c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35">
      <c r="A155" s="3" t="s">
        <v>104</v>
      </c>
      <c r="B155" s="3" t="s">
        <v>42</v>
      </c>
      <c r="C155" s="3" t="s">
        <v>105</v>
      </c>
      <c r="D155" s="3" t="s">
        <v>123</v>
      </c>
      <c r="E155" s="3" t="s">
        <v>43</v>
      </c>
      <c r="F155" s="3" t="s">
        <v>105</v>
      </c>
      <c r="G155" s="3" t="s">
        <v>123</v>
      </c>
      <c r="H155" s="3" t="s">
        <v>44</v>
      </c>
      <c r="I155" s="3" t="s">
        <v>105</v>
      </c>
      <c r="J155" s="3" t="s">
        <v>123</v>
      </c>
      <c r="K155" s="3" t="s">
        <v>45</v>
      </c>
      <c r="L155" s="3" t="s">
        <v>105</v>
      </c>
      <c r="M155" s="3" t="s">
        <v>123</v>
      </c>
      <c r="N155" s="3" t="s">
        <v>106</v>
      </c>
      <c r="O155" s="3" t="s">
        <v>9</v>
      </c>
      <c r="P155" s="2"/>
    </row>
    <row r="156" spans="1:16" x14ac:dyDescent="0.35">
      <c r="A156" s="3"/>
      <c r="B156" s="2">
        <v>9.7391000000000005</v>
      </c>
      <c r="C156" s="2">
        <v>0.1971</v>
      </c>
      <c r="D156" s="2">
        <v>49.405799999999999</v>
      </c>
      <c r="E156" s="2">
        <v>8.4275000000000002</v>
      </c>
      <c r="F156" s="2">
        <v>0.22950000000000001</v>
      </c>
      <c r="G156" s="2">
        <v>36.724699999999999</v>
      </c>
      <c r="H156" s="2">
        <v>8.1987000000000005</v>
      </c>
      <c r="I156" s="2">
        <v>0.15529999999999999</v>
      </c>
      <c r="J156" s="2">
        <v>52.776200000000003</v>
      </c>
      <c r="K156" s="2">
        <v>-26.365300000000001</v>
      </c>
      <c r="L156" s="2">
        <v>0.52290000000000003</v>
      </c>
      <c r="M156" s="2">
        <v>-50.423699999999997</v>
      </c>
      <c r="N156" s="2">
        <v>3069.6774999999998</v>
      </c>
      <c r="O156" s="4" t="s">
        <v>205</v>
      </c>
      <c r="P156" s="2"/>
    </row>
    <row r="157" spans="1:16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35">
      <c r="A158" s="3" t="s">
        <v>107</v>
      </c>
      <c r="B158" s="3" t="s">
        <v>42</v>
      </c>
      <c r="C158" s="3" t="s">
        <v>105</v>
      </c>
      <c r="D158" s="3" t="s">
        <v>123</v>
      </c>
      <c r="E158" s="3" t="s">
        <v>43</v>
      </c>
      <c r="F158" s="3" t="s">
        <v>105</v>
      </c>
      <c r="G158" s="3" t="s">
        <v>123</v>
      </c>
      <c r="H158" s="3" t="s">
        <v>44</v>
      </c>
      <c r="I158" s="3" t="s">
        <v>105</v>
      </c>
      <c r="J158" s="3" t="s">
        <v>123</v>
      </c>
      <c r="K158" s="3" t="s">
        <v>45</v>
      </c>
      <c r="L158" s="3" t="s">
        <v>105</v>
      </c>
      <c r="M158" s="3" t="s">
        <v>123</v>
      </c>
      <c r="N158" s="3" t="s">
        <v>106</v>
      </c>
      <c r="O158" s="3" t="s">
        <v>9</v>
      </c>
      <c r="P158" s="2"/>
    </row>
    <row r="159" spans="1:16" x14ac:dyDescent="0.35">
      <c r="A159" s="3" t="s">
        <v>204</v>
      </c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35">
      <c r="A160" s="3">
        <v>45</v>
      </c>
      <c r="B160" s="2">
        <v>-8.5870999999999995</v>
      </c>
      <c r="C160" s="2">
        <v>0.29409999999999997</v>
      </c>
      <c r="D160" s="2">
        <v>-29.202000000000002</v>
      </c>
      <c r="E160" s="2">
        <v>-8.5524000000000004</v>
      </c>
      <c r="F160" s="2">
        <v>0.3775</v>
      </c>
      <c r="G160" s="2">
        <v>-22.656500000000001</v>
      </c>
      <c r="H160" s="2">
        <v>-7.4908999999999999</v>
      </c>
      <c r="I160" s="2">
        <v>0.3155</v>
      </c>
      <c r="J160" s="2">
        <v>-23.746700000000001</v>
      </c>
      <c r="K160" s="2">
        <v>24.630500000000001</v>
      </c>
      <c r="L160" s="2">
        <v>0.63319999999999999</v>
      </c>
      <c r="M160" s="2">
        <v>38.900700000000001</v>
      </c>
      <c r="N160" s="2">
        <v>308450405853.59998</v>
      </c>
      <c r="O160" s="4">
        <v>0</v>
      </c>
      <c r="P160" s="2"/>
    </row>
    <row r="161" spans="1:16" x14ac:dyDescent="0.35">
      <c r="A161" s="3">
        <v>1516</v>
      </c>
      <c r="B161" s="2">
        <v>-7.9450000000000003</v>
      </c>
      <c r="C161" s="2">
        <v>0.33179999999999998</v>
      </c>
      <c r="D161" s="2">
        <v>-23.944600000000001</v>
      </c>
      <c r="E161" s="2">
        <v>-8.4747000000000003</v>
      </c>
      <c r="F161" s="2">
        <v>0.36620000000000003</v>
      </c>
      <c r="G161" s="2">
        <v>-23.145099999999999</v>
      </c>
      <c r="H161" s="2">
        <v>-8.2768999999999995</v>
      </c>
      <c r="I161" s="2">
        <v>0.35049999999999998</v>
      </c>
      <c r="J161" s="2">
        <v>-23.617899999999999</v>
      </c>
      <c r="K161" s="2">
        <v>24.6967</v>
      </c>
      <c r="L161" s="2">
        <v>0.90229999999999999</v>
      </c>
      <c r="M161" s="2">
        <v>27.369499999999999</v>
      </c>
      <c r="N161" s="2"/>
      <c r="O161" s="2"/>
      <c r="P161" s="2"/>
    </row>
    <row r="162" spans="1:16" x14ac:dyDescent="0.35">
      <c r="A162" s="3">
        <v>2728</v>
      </c>
      <c r="B162" s="2">
        <v>24.8245</v>
      </c>
      <c r="C162" s="2">
        <v>1.3671</v>
      </c>
      <c r="D162" s="2">
        <v>18.158000000000001</v>
      </c>
      <c r="E162" s="2">
        <v>25.521799999999999</v>
      </c>
      <c r="F162" s="2">
        <v>1.3926000000000001</v>
      </c>
      <c r="G162" s="2">
        <v>18.327200000000001</v>
      </c>
      <c r="H162" s="2">
        <v>25.430099999999999</v>
      </c>
      <c r="I162" s="2">
        <v>1.3527</v>
      </c>
      <c r="J162" s="2">
        <v>18.8002</v>
      </c>
      <c r="K162" s="2">
        <v>-75.776399999999995</v>
      </c>
      <c r="L162" s="2">
        <v>4.0218999999999996</v>
      </c>
      <c r="M162" s="2">
        <v>-18.840800000000002</v>
      </c>
      <c r="N162" s="2"/>
      <c r="O162" s="2"/>
      <c r="P162" s="2"/>
    </row>
    <row r="163" spans="1:16" x14ac:dyDescent="0.35">
      <c r="A163" s="3">
        <v>6472</v>
      </c>
      <c r="B163" s="2">
        <v>-8.6146999999999991</v>
      </c>
      <c r="C163" s="2">
        <v>0.34599999999999997</v>
      </c>
      <c r="D163" s="2">
        <v>-24.8977</v>
      </c>
      <c r="E163" s="2">
        <v>-7.9137000000000004</v>
      </c>
      <c r="F163" s="2">
        <v>0.4224</v>
      </c>
      <c r="G163" s="2">
        <v>-18.734000000000002</v>
      </c>
      <c r="H163" s="2">
        <v>-8.7423999999999999</v>
      </c>
      <c r="I163" s="2">
        <v>0.49490000000000001</v>
      </c>
      <c r="J163" s="2">
        <v>-17.663799999999998</v>
      </c>
      <c r="K163" s="2">
        <v>25.270800000000001</v>
      </c>
      <c r="L163" s="2">
        <v>0.74590000000000001</v>
      </c>
      <c r="M163" s="2">
        <v>33.881799999999998</v>
      </c>
      <c r="N163" s="2"/>
      <c r="O163" s="2"/>
      <c r="P163" s="2"/>
    </row>
    <row r="164" spans="1:16" x14ac:dyDescent="0.35">
      <c r="A164" s="3">
        <v>171819</v>
      </c>
      <c r="B164" s="2">
        <v>-8.0358000000000001</v>
      </c>
      <c r="C164" s="2">
        <v>0.2893</v>
      </c>
      <c r="D164" s="2">
        <v>-27.774999999999999</v>
      </c>
      <c r="E164" s="2">
        <v>-7.9409999999999998</v>
      </c>
      <c r="F164" s="2">
        <v>0.40050000000000002</v>
      </c>
      <c r="G164" s="2">
        <v>-19.829799999999999</v>
      </c>
      <c r="H164" s="2">
        <v>-8.1744000000000003</v>
      </c>
      <c r="I164" s="2">
        <v>0.31890000000000002</v>
      </c>
      <c r="J164" s="2">
        <v>-25.636199999999999</v>
      </c>
      <c r="K164" s="2">
        <v>24.151299999999999</v>
      </c>
      <c r="L164" s="2">
        <v>0.70399999999999996</v>
      </c>
      <c r="M164" s="2">
        <v>34.304699999999997</v>
      </c>
      <c r="N164" s="2"/>
      <c r="O164" s="2"/>
      <c r="P164" s="2"/>
    </row>
    <row r="165" spans="1:16" x14ac:dyDescent="0.35">
      <c r="A165" s="3">
        <v>242526</v>
      </c>
      <c r="B165" s="2">
        <v>-0.8357</v>
      </c>
      <c r="C165" s="2">
        <v>0.34300000000000003</v>
      </c>
      <c r="D165" s="2">
        <v>-2.4359999999999999</v>
      </c>
      <c r="E165" s="2">
        <v>-0.97360000000000002</v>
      </c>
      <c r="F165" s="2">
        <v>0.43169999999999997</v>
      </c>
      <c r="G165" s="2">
        <v>-2.2555000000000001</v>
      </c>
      <c r="H165" s="2">
        <v>-0.79510000000000003</v>
      </c>
      <c r="I165" s="2">
        <v>59529249.088399999</v>
      </c>
      <c r="J165" s="2">
        <v>0</v>
      </c>
      <c r="K165" s="2">
        <v>2.6044</v>
      </c>
      <c r="L165" s="2">
        <v>59529248.659999996</v>
      </c>
      <c r="M165" s="2">
        <v>0</v>
      </c>
      <c r="N165" s="2"/>
      <c r="O165" s="2"/>
      <c r="P165" s="2"/>
    </row>
    <row r="166" spans="1:16" x14ac:dyDescent="0.35">
      <c r="A166" s="3">
        <v>606162</v>
      </c>
      <c r="B166" s="2">
        <v>-7.8594999999999997</v>
      </c>
      <c r="C166" s="2">
        <v>0.38340000000000002</v>
      </c>
      <c r="D166" s="2">
        <v>-20.498000000000001</v>
      </c>
      <c r="E166" s="2">
        <v>-7.8193999999999999</v>
      </c>
      <c r="F166" s="2">
        <v>0.51100000000000001</v>
      </c>
      <c r="G166" s="2">
        <v>-15.3027</v>
      </c>
      <c r="H166" s="2">
        <v>-8.5706000000000007</v>
      </c>
      <c r="I166" s="2">
        <v>0.54530000000000001</v>
      </c>
      <c r="J166" s="2">
        <v>-15.7174</v>
      </c>
      <c r="K166" s="2">
        <v>24.249400000000001</v>
      </c>
      <c r="L166" s="2">
        <v>0.9667</v>
      </c>
      <c r="M166" s="2">
        <v>25.0853</v>
      </c>
      <c r="N166" s="2"/>
      <c r="O166" s="2"/>
      <c r="P166" s="2"/>
    </row>
    <row r="167" spans="1:16" x14ac:dyDescent="0.35">
      <c r="A167" s="3">
        <v>20362122</v>
      </c>
      <c r="B167" s="2">
        <v>33.139400000000002</v>
      </c>
      <c r="C167" s="2">
        <v>0.3679</v>
      </c>
      <c r="D167" s="2">
        <v>90.080500000000001</v>
      </c>
      <c r="E167" s="2">
        <v>32.865299999999998</v>
      </c>
      <c r="F167" s="2">
        <v>0.55869999999999997</v>
      </c>
      <c r="G167" s="2">
        <v>58.826900000000002</v>
      </c>
      <c r="H167" s="2">
        <v>32.908299999999997</v>
      </c>
      <c r="I167" s="2">
        <v>48663468.874399997</v>
      </c>
      <c r="J167" s="2">
        <v>0</v>
      </c>
      <c r="K167" s="2">
        <v>-98.912999999999997</v>
      </c>
      <c r="L167" s="2">
        <v>48663468.588799998</v>
      </c>
      <c r="M167" s="2">
        <v>0</v>
      </c>
      <c r="N167" s="2"/>
      <c r="O167" s="2"/>
      <c r="P167" s="2"/>
    </row>
    <row r="168" spans="1:16" x14ac:dyDescent="0.35">
      <c r="A168" s="5">
        <v>5052000000</v>
      </c>
      <c r="B168" s="2">
        <v>-8.0739999999999998</v>
      </c>
      <c r="C168" s="2">
        <v>0.19109999999999999</v>
      </c>
      <c r="D168" s="2">
        <v>-42.249899999999997</v>
      </c>
      <c r="E168" s="2">
        <v>-8.1971000000000007</v>
      </c>
      <c r="F168" s="2">
        <v>0.26450000000000001</v>
      </c>
      <c r="G168" s="2">
        <v>-30.985499999999998</v>
      </c>
      <c r="H168" s="2">
        <v>-7.8962000000000003</v>
      </c>
      <c r="I168" s="2">
        <v>121984818.7331</v>
      </c>
      <c r="J168" s="2">
        <v>0</v>
      </c>
      <c r="K168" s="2">
        <v>24.167300000000001</v>
      </c>
      <c r="L168" s="2">
        <v>121984818.4755</v>
      </c>
      <c r="M168" s="2">
        <v>0</v>
      </c>
      <c r="N168" s="2"/>
      <c r="O168" s="2"/>
      <c r="P168" s="2"/>
    </row>
    <row r="169" spans="1:16" x14ac:dyDescent="0.35">
      <c r="A169" s="5">
        <v>293100000000</v>
      </c>
      <c r="B169" s="2">
        <v>-8.0121000000000002</v>
      </c>
      <c r="C169" s="2">
        <v>0.35070000000000001</v>
      </c>
      <c r="D169" s="2">
        <v>-22.8445</v>
      </c>
      <c r="E169" s="2">
        <v>-8.5150000000000006</v>
      </c>
      <c r="F169" s="2">
        <v>0.46139999999999998</v>
      </c>
      <c r="G169" s="2">
        <v>-18.4528</v>
      </c>
      <c r="H169" s="2">
        <v>-8.3918999999999997</v>
      </c>
      <c r="I169" s="2">
        <v>183346016.09209999</v>
      </c>
      <c r="J169" s="2">
        <v>0</v>
      </c>
      <c r="K169" s="2">
        <v>24.919</v>
      </c>
      <c r="L169" s="2">
        <v>183346016.34240001</v>
      </c>
      <c r="M169" s="2">
        <v>0</v>
      </c>
      <c r="N169" s="2"/>
      <c r="O169" s="2"/>
      <c r="P169" s="2"/>
    </row>
    <row r="170" spans="1:16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2" spans="1:16" ht="17.5" x14ac:dyDescent="0.35">
      <c r="A172" s="1" t="s">
        <v>108</v>
      </c>
    </row>
    <row r="174" spans="1:16" x14ac:dyDescent="0.35">
      <c r="A174" s="3" t="s">
        <v>103</v>
      </c>
      <c r="B174" s="3"/>
      <c r="C174" s="3"/>
      <c r="D174" s="3" t="s">
        <v>106</v>
      </c>
      <c r="E174" s="3" t="s">
        <v>109</v>
      </c>
      <c r="F174" s="3" t="s">
        <v>9</v>
      </c>
    </row>
    <row r="175" spans="1:16" x14ac:dyDescent="0.35">
      <c r="A175" s="3" t="s">
        <v>104</v>
      </c>
      <c r="B175" s="2"/>
      <c r="C175" s="2"/>
      <c r="D175" s="2"/>
      <c r="E175" s="2"/>
      <c r="F175" s="2"/>
    </row>
    <row r="176" spans="1:16" x14ac:dyDescent="0.35">
      <c r="A176" s="3" t="s">
        <v>110</v>
      </c>
      <c r="B176" s="3">
        <v>1</v>
      </c>
      <c r="C176" s="3">
        <v>2</v>
      </c>
      <c r="D176" s="2">
        <v>80.36</v>
      </c>
      <c r="E176" s="2">
        <v>1</v>
      </c>
      <c r="F176" s="4">
        <v>3.0999999999999999E-19</v>
      </c>
    </row>
    <row r="177" spans="1:9" x14ac:dyDescent="0.35">
      <c r="A177" s="3" t="s">
        <v>110</v>
      </c>
      <c r="B177" s="3">
        <v>1</v>
      </c>
      <c r="C177" s="3">
        <v>3</v>
      </c>
      <c r="D177" s="2">
        <v>128.0626</v>
      </c>
      <c r="E177" s="2">
        <v>1</v>
      </c>
      <c r="F177" s="4">
        <v>1.1E-29</v>
      </c>
    </row>
    <row r="178" spans="1:9" x14ac:dyDescent="0.35">
      <c r="A178" s="3" t="s">
        <v>110</v>
      </c>
      <c r="B178" s="3">
        <v>1</v>
      </c>
      <c r="C178" s="3">
        <v>4</v>
      </c>
      <c r="D178" s="2">
        <v>2583.5583000000001</v>
      </c>
      <c r="E178" s="2">
        <v>1</v>
      </c>
      <c r="F178" s="4" t="s">
        <v>206</v>
      </c>
    </row>
    <row r="179" spans="1:9" x14ac:dyDescent="0.35">
      <c r="A179" s="3" t="s">
        <v>110</v>
      </c>
      <c r="B179" s="3">
        <v>2</v>
      </c>
      <c r="C179" s="3">
        <v>3</v>
      </c>
      <c r="D179" s="2">
        <v>1.5564</v>
      </c>
      <c r="E179" s="2">
        <v>1</v>
      </c>
      <c r="F179" s="2">
        <v>0.21</v>
      </c>
    </row>
    <row r="180" spans="1:9" x14ac:dyDescent="0.35">
      <c r="A180" s="3" t="s">
        <v>110</v>
      </c>
      <c r="B180" s="3">
        <v>2</v>
      </c>
      <c r="C180" s="3">
        <v>4</v>
      </c>
      <c r="D180" s="2">
        <v>2222.5472</v>
      </c>
      <c r="E180" s="2">
        <v>1</v>
      </c>
      <c r="F180" s="4" t="s">
        <v>207</v>
      </c>
    </row>
    <row r="181" spans="1:9" x14ac:dyDescent="0.35">
      <c r="A181" s="3" t="s">
        <v>110</v>
      </c>
      <c r="B181" s="3">
        <v>3</v>
      </c>
      <c r="C181" s="3">
        <v>4</v>
      </c>
      <c r="D181" s="2">
        <v>2756.2853</v>
      </c>
      <c r="E181" s="2">
        <v>1</v>
      </c>
      <c r="F181" s="4" t="s">
        <v>208</v>
      </c>
    </row>
    <row r="182" spans="1:9" x14ac:dyDescent="0.35">
      <c r="A182" s="3" t="s">
        <v>204</v>
      </c>
      <c r="B182" s="2"/>
      <c r="C182" s="2"/>
      <c r="D182" s="2"/>
      <c r="E182" s="2"/>
      <c r="F182" s="2"/>
    </row>
    <row r="183" spans="1:9" x14ac:dyDescent="0.35">
      <c r="A183" s="3" t="s">
        <v>110</v>
      </c>
      <c r="B183" s="3">
        <v>1</v>
      </c>
      <c r="C183" s="3">
        <v>2</v>
      </c>
      <c r="D183" s="2">
        <v>8.2138000000000009</v>
      </c>
      <c r="E183" s="2">
        <v>9</v>
      </c>
      <c r="F183" s="2">
        <v>0.51</v>
      </c>
    </row>
    <row r="184" spans="1:9" x14ac:dyDescent="0.35">
      <c r="A184" s="3" t="s">
        <v>110</v>
      </c>
      <c r="B184" s="3">
        <v>1</v>
      </c>
      <c r="C184" s="3">
        <v>3</v>
      </c>
      <c r="D184" s="2">
        <v>13.9116</v>
      </c>
      <c r="E184" s="2">
        <v>9</v>
      </c>
      <c r="F184" s="2">
        <v>0.13</v>
      </c>
    </row>
    <row r="185" spans="1:9" x14ac:dyDescent="0.35">
      <c r="A185" s="3" t="s">
        <v>110</v>
      </c>
      <c r="B185" s="3">
        <v>1</v>
      </c>
      <c r="C185" s="3">
        <v>4</v>
      </c>
      <c r="D185" s="2">
        <v>8773.8934000000008</v>
      </c>
      <c r="E185" s="2">
        <v>9</v>
      </c>
      <c r="F185" s="4" t="s">
        <v>209</v>
      </c>
    </row>
    <row r="186" spans="1:9" x14ac:dyDescent="0.35">
      <c r="A186" s="3" t="s">
        <v>110</v>
      </c>
      <c r="B186" s="3">
        <v>2</v>
      </c>
      <c r="C186" s="3">
        <v>3</v>
      </c>
      <c r="D186" s="2">
        <v>6.7102000000000004</v>
      </c>
      <c r="E186" s="2">
        <v>9</v>
      </c>
      <c r="F186" s="2">
        <v>0.67</v>
      </c>
    </row>
    <row r="187" spans="1:9" x14ac:dyDescent="0.35">
      <c r="A187" s="3" t="s">
        <v>110</v>
      </c>
      <c r="B187" s="3">
        <v>2</v>
      </c>
      <c r="C187" s="3">
        <v>4</v>
      </c>
      <c r="D187" s="2">
        <v>6320.2416000000003</v>
      </c>
      <c r="E187" s="2">
        <v>9</v>
      </c>
      <c r="F187" s="4" t="s">
        <v>210</v>
      </c>
    </row>
    <row r="188" spans="1:9" x14ac:dyDescent="0.35">
      <c r="A188" s="3" t="s">
        <v>110</v>
      </c>
      <c r="B188" s="3">
        <v>3</v>
      </c>
      <c r="C188" s="3">
        <v>4</v>
      </c>
      <c r="D188" s="2">
        <v>16930.9856</v>
      </c>
      <c r="E188" s="2">
        <v>9</v>
      </c>
      <c r="F188" s="4" t="s">
        <v>211</v>
      </c>
    </row>
    <row r="190" spans="1:9" ht="17.5" x14ac:dyDescent="0.35">
      <c r="A190" s="1" t="s">
        <v>111</v>
      </c>
    </row>
    <row r="192" spans="1:9" x14ac:dyDescent="0.35">
      <c r="A192" s="2"/>
      <c r="B192" s="3" t="s">
        <v>42</v>
      </c>
      <c r="C192" s="3" t="s">
        <v>105</v>
      </c>
      <c r="D192" s="3" t="s">
        <v>43</v>
      </c>
      <c r="E192" s="3" t="s">
        <v>105</v>
      </c>
      <c r="F192" s="3" t="s">
        <v>44</v>
      </c>
      <c r="G192" s="3" t="s">
        <v>105</v>
      </c>
      <c r="H192" s="3" t="s">
        <v>45</v>
      </c>
      <c r="I192" s="3" t="s">
        <v>105</v>
      </c>
    </row>
    <row r="193" spans="1:9" x14ac:dyDescent="0.35">
      <c r="A193" s="3" t="s">
        <v>112</v>
      </c>
      <c r="B193" s="2">
        <v>0.65739999999999998</v>
      </c>
      <c r="C193" s="2">
        <v>5521504.1527000004</v>
      </c>
      <c r="D193" s="2">
        <v>0.16619999999999999</v>
      </c>
      <c r="E193" s="2">
        <v>1362433.5288</v>
      </c>
      <c r="F193" s="2">
        <v>0.15989999999999999</v>
      </c>
      <c r="G193" s="2">
        <v>7436551.3340999996</v>
      </c>
      <c r="H193" s="2">
        <v>1.6500000000000001E-2</v>
      </c>
      <c r="I193" s="2">
        <v>601919.09759999998</v>
      </c>
    </row>
    <row r="194" spans="1:9" x14ac:dyDescent="0.35">
      <c r="A194" s="3" t="s">
        <v>107</v>
      </c>
      <c r="B194" s="2"/>
      <c r="C194" s="2"/>
      <c r="D194" s="2"/>
      <c r="E194" s="2"/>
      <c r="F194" s="2"/>
      <c r="G194" s="2"/>
      <c r="H194" s="2"/>
      <c r="I194" s="2"/>
    </row>
    <row r="195" spans="1:9" x14ac:dyDescent="0.35">
      <c r="A195" s="3" t="s">
        <v>204</v>
      </c>
      <c r="B195" s="2"/>
      <c r="C195" s="2"/>
      <c r="D195" s="2"/>
      <c r="E195" s="2"/>
      <c r="F195" s="2"/>
      <c r="G195" s="2"/>
      <c r="H195" s="2"/>
      <c r="I195" s="2"/>
    </row>
    <row r="196" spans="1:9" x14ac:dyDescent="0.35">
      <c r="A196" s="3">
        <v>45</v>
      </c>
      <c r="B196" s="2">
        <v>5.1799999999999999E-2</v>
      </c>
      <c r="C196" s="2" t="s">
        <v>11</v>
      </c>
      <c r="D196" s="2">
        <v>5.7099999999999998E-2</v>
      </c>
      <c r="E196" s="2" t="s">
        <v>11</v>
      </c>
      <c r="F196" s="2">
        <v>0.1366</v>
      </c>
      <c r="G196" s="2" t="s">
        <v>11</v>
      </c>
      <c r="H196" s="2">
        <v>0.1147</v>
      </c>
      <c r="I196" s="2" t="s">
        <v>11</v>
      </c>
    </row>
    <row r="197" spans="1:9" x14ac:dyDescent="0.35">
      <c r="A197" s="3">
        <v>1516</v>
      </c>
      <c r="B197" s="2">
        <v>9.2600000000000002E-2</v>
      </c>
      <c r="C197" s="2" t="s">
        <v>11</v>
      </c>
      <c r="D197" s="2">
        <v>5.8099999999999999E-2</v>
      </c>
      <c r="E197" s="2" t="s">
        <v>11</v>
      </c>
      <c r="F197" s="2">
        <v>5.8599999999999999E-2</v>
      </c>
      <c r="G197" s="2" t="s">
        <v>11</v>
      </c>
      <c r="H197" s="2">
        <v>0.1153</v>
      </c>
      <c r="I197" s="2" t="s">
        <v>11</v>
      </c>
    </row>
    <row r="198" spans="1:9" x14ac:dyDescent="0.35">
      <c r="A198" s="3">
        <v>2728</v>
      </c>
      <c r="B198" s="2">
        <v>3.7199999999999997E-2</v>
      </c>
      <c r="C198" s="2" t="s">
        <v>11</v>
      </c>
      <c r="D198" s="2">
        <v>7.9600000000000004E-2</v>
      </c>
      <c r="E198" s="2" t="s">
        <v>11</v>
      </c>
      <c r="F198" s="2">
        <v>0.06</v>
      </c>
      <c r="G198" s="2" t="s">
        <v>11</v>
      </c>
      <c r="H198" s="2">
        <v>0</v>
      </c>
      <c r="I198" s="2" t="s">
        <v>11</v>
      </c>
    </row>
    <row r="199" spans="1:9" x14ac:dyDescent="0.35">
      <c r="A199" s="3">
        <v>6472</v>
      </c>
      <c r="B199" s="2">
        <v>3.6600000000000001E-2</v>
      </c>
      <c r="C199" s="2" t="s">
        <v>11</v>
      </c>
      <c r="D199" s="2">
        <v>7.8700000000000006E-2</v>
      </c>
      <c r="E199" s="2" t="s">
        <v>11</v>
      </c>
      <c r="F199" s="2">
        <v>2.8400000000000002E-2</v>
      </c>
      <c r="G199" s="2" t="s">
        <v>11</v>
      </c>
      <c r="H199" s="2">
        <v>0.1583</v>
      </c>
      <c r="I199" s="2" t="s">
        <v>11</v>
      </c>
    </row>
    <row r="200" spans="1:9" x14ac:dyDescent="0.35">
      <c r="A200" s="3">
        <v>171819</v>
      </c>
      <c r="B200" s="2">
        <v>5.16E-2</v>
      </c>
      <c r="C200" s="2" t="s">
        <v>11</v>
      </c>
      <c r="D200" s="2">
        <v>6.0499999999999998E-2</v>
      </c>
      <c r="E200" s="2" t="s">
        <v>11</v>
      </c>
      <c r="F200" s="2">
        <v>3.9600000000000003E-2</v>
      </c>
      <c r="G200" s="2" t="s">
        <v>11</v>
      </c>
      <c r="H200" s="2">
        <v>4.0800000000000003E-2</v>
      </c>
      <c r="I200" s="2" t="s">
        <v>11</v>
      </c>
    </row>
    <row r="201" spans="1:9" x14ac:dyDescent="0.35">
      <c r="A201" s="3">
        <v>242526</v>
      </c>
      <c r="B201" s="2">
        <v>8.0699999999999994E-2</v>
      </c>
      <c r="C201" s="2" t="s">
        <v>11</v>
      </c>
      <c r="D201" s="2">
        <v>7.4899999999999994E-2</v>
      </c>
      <c r="E201" s="2" t="s">
        <v>11</v>
      </c>
      <c r="F201" s="2">
        <v>7.3999999999999996E-2</v>
      </c>
      <c r="G201" s="2" t="s">
        <v>11</v>
      </c>
      <c r="H201" s="2">
        <v>0</v>
      </c>
      <c r="I201" s="2" t="s">
        <v>11</v>
      </c>
    </row>
    <row r="202" spans="1:9" x14ac:dyDescent="0.35">
      <c r="A202" s="3">
        <v>606162</v>
      </c>
      <c r="B202" s="2">
        <v>4.9299999999999997E-2</v>
      </c>
      <c r="C202" s="2" t="s">
        <v>11</v>
      </c>
      <c r="D202" s="2">
        <v>5.4600000000000003E-2</v>
      </c>
      <c r="E202" s="2" t="s">
        <v>11</v>
      </c>
      <c r="F202" s="2">
        <v>2.1299999999999999E-2</v>
      </c>
      <c r="G202" s="2" t="s">
        <v>11</v>
      </c>
      <c r="H202" s="2">
        <v>3.5999999999999997E-2</v>
      </c>
      <c r="I202" s="2" t="s">
        <v>11</v>
      </c>
    </row>
    <row r="203" spans="1:9" x14ac:dyDescent="0.35">
      <c r="A203" s="3">
        <v>20362122</v>
      </c>
      <c r="B203" s="2">
        <v>3.9899999999999998E-2</v>
      </c>
      <c r="C203" s="2" t="s">
        <v>11</v>
      </c>
      <c r="D203" s="2">
        <v>3.2300000000000002E-2</v>
      </c>
      <c r="E203" s="2" t="s">
        <v>11</v>
      </c>
      <c r="F203" s="2">
        <v>2.7900000000000001E-2</v>
      </c>
      <c r="G203" s="2" t="s">
        <v>11</v>
      </c>
      <c r="H203" s="2">
        <v>0</v>
      </c>
      <c r="I203" s="2" t="s">
        <v>11</v>
      </c>
    </row>
    <row r="204" spans="1:9" x14ac:dyDescent="0.35">
      <c r="A204" s="5">
        <v>5052000000</v>
      </c>
      <c r="B204" s="2">
        <v>0.47960000000000003</v>
      </c>
      <c r="C204" s="2" t="s">
        <v>11</v>
      </c>
      <c r="D204" s="2">
        <v>0.45200000000000001</v>
      </c>
      <c r="E204" s="2" t="s">
        <v>11</v>
      </c>
      <c r="F204" s="2">
        <v>0.50490000000000002</v>
      </c>
      <c r="G204" s="2" t="s">
        <v>11</v>
      </c>
      <c r="H204" s="2">
        <v>0.40029999999999999</v>
      </c>
      <c r="I204" s="2" t="s">
        <v>11</v>
      </c>
    </row>
    <row r="205" spans="1:9" x14ac:dyDescent="0.35">
      <c r="A205" s="5">
        <v>293100000000</v>
      </c>
      <c r="B205" s="2">
        <v>8.0799999999999997E-2</v>
      </c>
      <c r="C205" s="2" t="s">
        <v>11</v>
      </c>
      <c r="D205" s="2">
        <v>5.21E-2</v>
      </c>
      <c r="E205" s="2" t="s">
        <v>11</v>
      </c>
      <c r="F205" s="2">
        <v>4.87E-2</v>
      </c>
      <c r="G205" s="2" t="s">
        <v>11</v>
      </c>
      <c r="H205" s="2">
        <v>0.13450000000000001</v>
      </c>
      <c r="I205" s="2" t="s">
        <v>11</v>
      </c>
    </row>
    <row r="207" spans="1:9" ht="17.5" x14ac:dyDescent="0.35">
      <c r="A207" s="1" t="s">
        <v>113</v>
      </c>
    </row>
    <row r="209" spans="1:5" x14ac:dyDescent="0.35">
      <c r="A209" s="2"/>
      <c r="B209" s="3" t="s">
        <v>42</v>
      </c>
      <c r="C209" s="3" t="s">
        <v>43</v>
      </c>
      <c r="D209" s="3" t="s">
        <v>44</v>
      </c>
      <c r="E209" s="3" t="s">
        <v>45</v>
      </c>
    </row>
    <row r="210" spans="1:5" x14ac:dyDescent="0.35">
      <c r="A210" s="3" t="s">
        <v>114</v>
      </c>
      <c r="B210" s="2">
        <v>0.65739999999999998</v>
      </c>
      <c r="C210" s="2">
        <v>0.16619999999999999</v>
      </c>
      <c r="D210" s="2">
        <v>0.15989999999999999</v>
      </c>
      <c r="E210" s="2">
        <v>1.6500000000000001E-2</v>
      </c>
    </row>
    <row r="211" spans="1:5" x14ac:dyDescent="0.35">
      <c r="A211" s="3" t="s">
        <v>107</v>
      </c>
      <c r="B211" s="2"/>
      <c r="C211" s="2"/>
      <c r="D211" s="2"/>
      <c r="E211" s="2"/>
    </row>
    <row r="212" spans="1:5" x14ac:dyDescent="0.35">
      <c r="A212" s="3" t="s">
        <v>204</v>
      </c>
      <c r="B212" s="2"/>
      <c r="C212" s="2"/>
      <c r="D212" s="2"/>
      <c r="E212" s="2"/>
    </row>
    <row r="213" spans="1:5" x14ac:dyDescent="0.35">
      <c r="A213" s="3">
        <v>45</v>
      </c>
      <c r="B213" s="2">
        <v>0.50609999999999999</v>
      </c>
      <c r="C213" s="2">
        <v>0.1411</v>
      </c>
      <c r="D213" s="2">
        <v>0.3246</v>
      </c>
      <c r="E213" s="2">
        <v>2.8199999999999999E-2</v>
      </c>
    </row>
    <row r="214" spans="1:5" x14ac:dyDescent="0.35">
      <c r="A214" s="3">
        <v>1516</v>
      </c>
      <c r="B214" s="2">
        <v>0.74419999999999997</v>
      </c>
      <c r="C214" s="2">
        <v>0.11799999999999999</v>
      </c>
      <c r="D214" s="2">
        <v>0.1144</v>
      </c>
      <c r="E214" s="2">
        <v>2.3300000000000001E-2</v>
      </c>
    </row>
    <row r="215" spans="1:5" x14ac:dyDescent="0.35">
      <c r="A215" s="3">
        <v>2728</v>
      </c>
      <c r="B215" s="2">
        <v>0.51719999999999999</v>
      </c>
      <c r="C215" s="2">
        <v>0.27979999999999999</v>
      </c>
      <c r="D215" s="2">
        <v>0.2031</v>
      </c>
      <c r="E215" s="2">
        <v>0</v>
      </c>
    </row>
    <row r="216" spans="1:5" x14ac:dyDescent="0.35">
      <c r="A216" s="3">
        <v>6472</v>
      </c>
      <c r="B216" s="2">
        <v>0.54339999999999999</v>
      </c>
      <c r="C216" s="2">
        <v>0.29509999999999997</v>
      </c>
      <c r="D216" s="2">
        <v>0.10249999999999999</v>
      </c>
      <c r="E216" s="2">
        <v>5.91E-2</v>
      </c>
    </row>
    <row r="217" spans="1:5" x14ac:dyDescent="0.35">
      <c r="A217" s="3">
        <v>171819</v>
      </c>
      <c r="B217" s="2">
        <v>0.66549999999999998</v>
      </c>
      <c r="C217" s="2">
        <v>0.1971</v>
      </c>
      <c r="D217" s="2">
        <v>0.1242</v>
      </c>
      <c r="E217" s="2">
        <v>1.32E-2</v>
      </c>
    </row>
    <row r="218" spans="1:5" x14ac:dyDescent="0.35">
      <c r="A218" s="3">
        <v>242526</v>
      </c>
      <c r="B218" s="2">
        <v>0.68589999999999995</v>
      </c>
      <c r="C218" s="2">
        <v>0.161</v>
      </c>
      <c r="D218" s="2">
        <v>0.15310000000000001</v>
      </c>
      <c r="E218" s="2">
        <v>0</v>
      </c>
    </row>
    <row r="219" spans="1:5" x14ac:dyDescent="0.35">
      <c r="A219" s="3">
        <v>606162</v>
      </c>
      <c r="B219" s="2">
        <v>0.71220000000000006</v>
      </c>
      <c r="C219" s="2">
        <v>0.19969999999999999</v>
      </c>
      <c r="D219" s="2">
        <v>7.4999999999999997E-2</v>
      </c>
      <c r="E219" s="2">
        <v>1.3100000000000001E-2</v>
      </c>
    </row>
    <row r="220" spans="1:5" x14ac:dyDescent="0.35">
      <c r="A220" s="3">
        <v>20362122</v>
      </c>
      <c r="B220" s="2">
        <v>0.72729999999999995</v>
      </c>
      <c r="C220" s="2">
        <v>0.14899999999999999</v>
      </c>
      <c r="D220" s="2">
        <v>0.1237</v>
      </c>
      <c r="E220" s="2">
        <v>0</v>
      </c>
    </row>
    <row r="221" spans="1:5" x14ac:dyDescent="0.35">
      <c r="A221" s="5">
        <v>5052000000</v>
      </c>
      <c r="B221" s="2">
        <v>0.66</v>
      </c>
      <c r="C221" s="2">
        <v>0.15720000000000001</v>
      </c>
      <c r="D221" s="2">
        <v>0.16900000000000001</v>
      </c>
      <c r="E221" s="2">
        <v>1.3899999999999999E-2</v>
      </c>
    </row>
    <row r="222" spans="1:5" x14ac:dyDescent="0.35">
      <c r="A222" s="5">
        <v>293100000000</v>
      </c>
      <c r="B222" s="2">
        <v>0.74</v>
      </c>
      <c r="C222" s="2">
        <v>0.1206</v>
      </c>
      <c r="D222" s="2">
        <v>0.1085</v>
      </c>
      <c r="E222" s="2">
        <v>3.1E-2</v>
      </c>
    </row>
    <row r="224" spans="1:5" ht="17.5" x14ac:dyDescent="0.35">
      <c r="A224" s="1" t="s">
        <v>115</v>
      </c>
    </row>
    <row r="226" spans="1:9" x14ac:dyDescent="0.35">
      <c r="A226" s="2"/>
      <c r="B226" s="20" t="s">
        <v>110</v>
      </c>
      <c r="C226" s="21"/>
      <c r="D226" s="21"/>
      <c r="E226" s="21"/>
      <c r="F226" s="21"/>
      <c r="G226" s="21"/>
      <c r="H226" s="21"/>
      <c r="I226" s="22"/>
    </row>
    <row r="227" spans="1:9" x14ac:dyDescent="0.35">
      <c r="A227" s="3" t="s">
        <v>204</v>
      </c>
      <c r="B227" s="3">
        <v>1</v>
      </c>
      <c r="C227" s="3" t="s">
        <v>105</v>
      </c>
      <c r="D227" s="3">
        <v>2</v>
      </c>
      <c r="E227" s="3" t="s">
        <v>105</v>
      </c>
      <c r="F227" s="3">
        <v>3</v>
      </c>
      <c r="G227" s="3" t="s">
        <v>105</v>
      </c>
      <c r="H227" s="3">
        <v>4</v>
      </c>
      <c r="I227" s="3" t="s">
        <v>105</v>
      </c>
    </row>
    <row r="228" spans="1:9" x14ac:dyDescent="0.35">
      <c r="A228" s="3">
        <v>45</v>
      </c>
      <c r="B228" s="2">
        <v>0.50609999999999999</v>
      </c>
      <c r="C228" s="2">
        <v>8.1900000000000001E-2</v>
      </c>
      <c r="D228" s="2">
        <v>0.1411</v>
      </c>
      <c r="E228" s="2">
        <v>5.57E-2</v>
      </c>
      <c r="F228" s="2">
        <v>0.3246</v>
      </c>
      <c r="G228" s="2">
        <v>7.6200000000000004E-2</v>
      </c>
      <c r="H228" s="2">
        <v>2.8199999999999999E-2</v>
      </c>
      <c r="I228" s="2">
        <v>1.2999999999999999E-2</v>
      </c>
    </row>
    <row r="229" spans="1:9" x14ac:dyDescent="0.35">
      <c r="A229" s="3">
        <v>1516</v>
      </c>
      <c r="B229" s="2">
        <v>0.74419999999999997</v>
      </c>
      <c r="C229" s="2">
        <v>4.07E-2</v>
      </c>
      <c r="D229" s="2">
        <v>0.11799999999999999</v>
      </c>
      <c r="E229" s="2">
        <v>2.8000000000000001E-2</v>
      </c>
      <c r="F229" s="2">
        <v>0.1144</v>
      </c>
      <c r="G229" s="2">
        <v>2.6800000000000001E-2</v>
      </c>
      <c r="H229" s="2">
        <v>2.3300000000000001E-2</v>
      </c>
      <c r="I229" s="2">
        <v>2.2200000000000001E-2</v>
      </c>
    </row>
    <row r="230" spans="1:9" x14ac:dyDescent="0.35">
      <c r="A230" s="3">
        <v>2728</v>
      </c>
      <c r="B230" s="2">
        <v>0.51719999999999999</v>
      </c>
      <c r="C230" s="2">
        <v>9.7500000000000003E-2</v>
      </c>
      <c r="D230" s="2">
        <v>0.27979999999999999</v>
      </c>
      <c r="E230" s="2">
        <v>9.5799999999999996E-2</v>
      </c>
      <c r="F230" s="2">
        <v>0.2031</v>
      </c>
      <c r="G230" s="2">
        <v>7.6899999999999996E-2</v>
      </c>
      <c r="H230" s="2">
        <v>0</v>
      </c>
      <c r="I230" s="2" t="s">
        <v>11</v>
      </c>
    </row>
    <row r="231" spans="1:9" x14ac:dyDescent="0.35">
      <c r="A231" s="3">
        <v>6472</v>
      </c>
      <c r="B231" s="2">
        <v>0.54339999999999999</v>
      </c>
      <c r="C231" s="2">
        <v>0.11260000000000001</v>
      </c>
      <c r="D231" s="2">
        <v>0.29509999999999997</v>
      </c>
      <c r="E231" s="2">
        <v>0.112</v>
      </c>
      <c r="F231" s="2">
        <v>0.10249999999999999</v>
      </c>
      <c r="G231" s="2">
        <v>5.5800000000000002E-2</v>
      </c>
      <c r="H231" s="2">
        <v>5.91E-2</v>
      </c>
      <c r="I231" s="2">
        <v>3.6200000000000003E-2</v>
      </c>
    </row>
    <row r="232" spans="1:9" x14ac:dyDescent="0.35">
      <c r="A232" s="3">
        <v>171819</v>
      </c>
      <c r="B232" s="2">
        <v>0.66549999999999998</v>
      </c>
      <c r="C232" s="2">
        <v>6.9099999999999995E-2</v>
      </c>
      <c r="D232" s="2">
        <v>0.1971</v>
      </c>
      <c r="E232" s="2">
        <v>7.3999999999999996E-2</v>
      </c>
      <c r="F232" s="2">
        <v>0.1242</v>
      </c>
      <c r="G232" s="2">
        <v>3.2399999999999998E-2</v>
      </c>
      <c r="H232" s="2">
        <v>1.32E-2</v>
      </c>
      <c r="I232" s="2">
        <v>8.0999999999999996E-3</v>
      </c>
    </row>
    <row r="233" spans="1:9" x14ac:dyDescent="0.35">
      <c r="A233" s="3">
        <v>242526</v>
      </c>
      <c r="B233" s="2">
        <v>0.68589999999999995</v>
      </c>
      <c r="C233" s="2">
        <v>6251017.1732000001</v>
      </c>
      <c r="D233" s="2">
        <v>0.161</v>
      </c>
      <c r="E233" s="2">
        <v>1466929.2426</v>
      </c>
      <c r="F233" s="2">
        <v>0.15310000000000001</v>
      </c>
      <c r="G233" s="2">
        <v>7717946.4157999996</v>
      </c>
      <c r="H233" s="2">
        <v>0</v>
      </c>
      <c r="I233" s="2">
        <v>0</v>
      </c>
    </row>
    <row r="234" spans="1:9" x14ac:dyDescent="0.35">
      <c r="A234" s="3">
        <v>606162</v>
      </c>
      <c r="B234" s="2">
        <v>0.71220000000000006</v>
      </c>
      <c r="C234" s="2">
        <v>9.4299999999999995E-2</v>
      </c>
      <c r="D234" s="2">
        <v>0.19969999999999999</v>
      </c>
      <c r="E234" s="2">
        <v>9.64E-2</v>
      </c>
      <c r="F234" s="2">
        <v>7.4999999999999997E-2</v>
      </c>
      <c r="G234" s="2">
        <v>4.1200000000000001E-2</v>
      </c>
      <c r="H234" s="2">
        <v>1.3100000000000001E-2</v>
      </c>
      <c r="I234" s="2">
        <v>1.37E-2</v>
      </c>
    </row>
    <row r="235" spans="1:9" x14ac:dyDescent="0.35">
      <c r="A235" s="3">
        <v>20362122</v>
      </c>
      <c r="B235" s="2">
        <v>0.72729999999999995</v>
      </c>
      <c r="C235" s="2">
        <v>4378778.8141000001</v>
      </c>
      <c r="D235" s="2">
        <v>0.14899999999999999</v>
      </c>
      <c r="E235" s="2">
        <v>896822.4314</v>
      </c>
      <c r="F235" s="2">
        <v>0.1237</v>
      </c>
      <c r="G235" s="2">
        <v>5275601.2455000002</v>
      </c>
      <c r="H235" s="2">
        <v>0</v>
      </c>
      <c r="I235" s="2" t="s">
        <v>11</v>
      </c>
    </row>
    <row r="236" spans="1:9" x14ac:dyDescent="0.35">
      <c r="A236" s="5">
        <v>5052000000</v>
      </c>
      <c r="B236" s="2">
        <v>0.66</v>
      </c>
      <c r="C236" s="2">
        <v>12486924.905300001</v>
      </c>
      <c r="D236" s="2">
        <v>0.15720000000000001</v>
      </c>
      <c r="E236" s="2">
        <v>2974473.6554999999</v>
      </c>
      <c r="F236" s="2">
        <v>0.16900000000000001</v>
      </c>
      <c r="G236" s="2">
        <v>17414642.9989</v>
      </c>
      <c r="H236" s="2">
        <v>1.3899999999999999E-2</v>
      </c>
      <c r="I236" s="2">
        <v>1953244.4380999999</v>
      </c>
    </row>
    <row r="237" spans="1:9" x14ac:dyDescent="0.35">
      <c r="A237" s="5">
        <v>293100000000</v>
      </c>
      <c r="B237" s="2">
        <v>0.74</v>
      </c>
      <c r="C237" s="2">
        <v>10513185.4549</v>
      </c>
      <c r="D237" s="2">
        <v>0.1206</v>
      </c>
      <c r="E237" s="2">
        <v>1712770.8259000001</v>
      </c>
      <c r="F237" s="2">
        <v>0.1085</v>
      </c>
      <c r="G237" s="2">
        <v>18346663.585700002</v>
      </c>
      <c r="H237" s="2">
        <v>3.1E-2</v>
      </c>
      <c r="I237" s="2">
        <v>6120707.3048</v>
      </c>
    </row>
    <row r="238" spans="1:9" x14ac:dyDescent="0.35">
      <c r="A238" s="23"/>
      <c r="B238" s="24"/>
      <c r="C238" s="24"/>
      <c r="D238" s="24"/>
      <c r="E238" s="24"/>
      <c r="F238" s="24"/>
      <c r="G238" s="24"/>
      <c r="H238" s="24"/>
      <c r="I238" s="25"/>
    </row>
    <row r="239" spans="1:9" x14ac:dyDescent="0.35">
      <c r="A239" s="2"/>
      <c r="B239" s="20" t="s">
        <v>116</v>
      </c>
      <c r="C239" s="21"/>
      <c r="D239" s="21"/>
      <c r="E239" s="21"/>
      <c r="F239" s="21"/>
      <c r="G239" s="21"/>
      <c r="H239" s="21"/>
      <c r="I239" s="22"/>
    </row>
    <row r="240" spans="1:9" x14ac:dyDescent="0.35">
      <c r="A240" s="3" t="s">
        <v>110</v>
      </c>
      <c r="B240" s="3" t="s">
        <v>88</v>
      </c>
      <c r="C240" s="3" t="s">
        <v>105</v>
      </c>
      <c r="D240" s="3" t="s">
        <v>90</v>
      </c>
      <c r="E240" s="3" t="s">
        <v>105</v>
      </c>
      <c r="F240" s="3" t="s">
        <v>91</v>
      </c>
      <c r="G240" s="3" t="s">
        <v>105</v>
      </c>
      <c r="H240" s="3" t="s">
        <v>92</v>
      </c>
      <c r="I240" s="3" t="s">
        <v>105</v>
      </c>
    </row>
    <row r="241" spans="1:9" x14ac:dyDescent="0.35">
      <c r="A241" s="3">
        <v>1</v>
      </c>
      <c r="B241" s="2">
        <v>0.95299999999999996</v>
      </c>
      <c r="C241" s="2" t="s">
        <v>11</v>
      </c>
      <c r="D241" s="2">
        <v>3.7100000000000001E-2</v>
      </c>
      <c r="E241" s="2" t="s">
        <v>11</v>
      </c>
      <c r="F241" s="2">
        <v>9.4000000000000004E-3</v>
      </c>
      <c r="G241" s="2" t="s">
        <v>11</v>
      </c>
      <c r="H241" s="2">
        <v>5.0000000000000001E-4</v>
      </c>
      <c r="I241" s="2" t="s">
        <v>11</v>
      </c>
    </row>
    <row r="242" spans="1:9" x14ac:dyDescent="0.35">
      <c r="A242" s="3">
        <v>2</v>
      </c>
      <c r="B242" s="2">
        <v>0.1469</v>
      </c>
      <c r="C242" s="2" t="s">
        <v>11</v>
      </c>
      <c r="D242" s="2">
        <v>0.80220000000000002</v>
      </c>
      <c r="E242" s="2" t="s">
        <v>11</v>
      </c>
      <c r="F242" s="2">
        <v>5.0700000000000002E-2</v>
      </c>
      <c r="G242" s="2" t="s">
        <v>11</v>
      </c>
      <c r="H242" s="2">
        <v>2.0000000000000001E-4</v>
      </c>
      <c r="I242" s="2" t="s">
        <v>11</v>
      </c>
    </row>
    <row r="243" spans="1:9" x14ac:dyDescent="0.35">
      <c r="A243" s="3">
        <v>3</v>
      </c>
      <c r="B243" s="2">
        <v>3.85E-2</v>
      </c>
      <c r="C243" s="2" t="s">
        <v>11</v>
      </c>
      <c r="D243" s="2">
        <v>5.2600000000000001E-2</v>
      </c>
      <c r="E243" s="2" t="s">
        <v>11</v>
      </c>
      <c r="F243" s="2">
        <v>0.90580000000000005</v>
      </c>
      <c r="G243" s="2" t="s">
        <v>11</v>
      </c>
      <c r="H243" s="2">
        <v>3.0000000000000001E-3</v>
      </c>
      <c r="I243" s="2" t="s">
        <v>11</v>
      </c>
    </row>
    <row r="244" spans="1:9" x14ac:dyDescent="0.35">
      <c r="A244" s="3">
        <v>4</v>
      </c>
      <c r="B244" s="2">
        <v>1.9400000000000001E-2</v>
      </c>
      <c r="C244" s="2" t="s">
        <v>11</v>
      </c>
      <c r="D244" s="2">
        <v>2E-3</v>
      </c>
      <c r="E244" s="2" t="s">
        <v>11</v>
      </c>
      <c r="F244" s="2">
        <v>2.9399999999999999E-2</v>
      </c>
      <c r="G244" s="2" t="s">
        <v>11</v>
      </c>
      <c r="H244" s="2">
        <v>0.94920000000000004</v>
      </c>
      <c r="I244" s="2" t="s">
        <v>11</v>
      </c>
    </row>
  </sheetData>
  <mergeCells count="5">
    <mergeCell ref="A3:F3"/>
    <mergeCell ref="B69:F69"/>
    <mergeCell ref="B226:I226"/>
    <mergeCell ref="A238:I238"/>
    <mergeCell ref="B239:I23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7"/>
  <sheetViews>
    <sheetView zoomScale="55" zoomScaleNormal="55" workbookViewId="0">
      <selection activeCell="S25" sqref="S25"/>
    </sheetView>
  </sheetViews>
  <sheetFormatPr defaultRowHeight="14.5" x14ac:dyDescent="0.35"/>
  <cols>
    <col min="1" max="1" width="16.453125" bestFit="1" customWidth="1"/>
    <col min="2" max="5" width="9.26953125" customWidth="1"/>
    <col min="14" max="14" width="18.81640625" bestFit="1" customWidth="1"/>
  </cols>
  <sheetData>
    <row r="1" spans="1:14" x14ac:dyDescent="0.35">
      <c r="A1" t="s">
        <v>117</v>
      </c>
      <c r="B1">
        <v>156</v>
      </c>
    </row>
    <row r="3" spans="1:14" x14ac:dyDescent="0.35">
      <c r="A3" s="6" t="s">
        <v>102</v>
      </c>
      <c r="B3" s="6" t="str">
        <f ca="1">INDIRECT(CONCATENATE("'",$A$1,"'!B")&amp;($B$1-2))</f>
        <v>Cluster1</v>
      </c>
      <c r="C3" s="6" t="str">
        <f ca="1">INDIRECT(CONCATENATE("'",$A$1,"'!E")&amp;($B$1-2))</f>
        <v>Cluster2</v>
      </c>
      <c r="D3" s="6" t="str">
        <f ca="1">INDIRECT(CONCATENATE("'",$A$1,"'!H")&amp;($B$1-2))</f>
        <v>Cluster3</v>
      </c>
      <c r="E3" s="6" t="str">
        <f ca="1">INDIRECT(CONCATENATE("'",$A$1,"'!K")&amp;($B$1-2))</f>
        <v>Cluster4</v>
      </c>
      <c r="N3" s="6"/>
    </row>
    <row r="4" spans="1:14" x14ac:dyDescent="0.35">
      <c r="A4" s="6" t="str">
        <f ca="1">INDIRECT(CONCATENATE("'",$A$1,"'!A")&amp;($B$1))</f>
        <v>Argentina</v>
      </c>
      <c r="B4">
        <f ca="1">INDIRECT(CONCATENATE("'",$A$1,"'!B")&amp;($B$1))</f>
        <v>-0.15179999999999999</v>
      </c>
      <c r="C4">
        <f ca="1">INDIRECT(CONCATENATE("'",$A$1,"'!E")&amp;($B$1))</f>
        <v>6.3E-3</v>
      </c>
      <c r="D4">
        <f ca="1">INDIRECT(CONCATENATE("'",$A$1,"'!H")&amp;($B$1))</f>
        <v>-0.54020000000000001</v>
      </c>
      <c r="E4">
        <f ca="1">INDIRECT(CONCATENATE("'",$A$1,"'!K")&amp;($B$1))</f>
        <v>0.68569999999999998</v>
      </c>
      <c r="F4" t="s">
        <v>118</v>
      </c>
      <c r="N4" s="6"/>
    </row>
    <row r="5" spans="1:14" x14ac:dyDescent="0.35">
      <c r="A5" s="6"/>
      <c r="B5">
        <f ca="1">INDIRECT(CONCATENATE("'",$A$1,"'!D")&amp;($B$1))</f>
        <v>-1.1880999999999999</v>
      </c>
      <c r="C5">
        <f ca="1">INDIRECT(CONCATENATE("'",$A$1,"'!G")&amp;($B$1))</f>
        <v>3.8199999999999998E-2</v>
      </c>
      <c r="D5">
        <f ca="1">INDIRECT(CONCATENATE("'",$A$1,"'!J")&amp;($B$1))</f>
        <v>-3.1922000000000001</v>
      </c>
      <c r="E5">
        <f ca="1">INDIRECT(CONCATENATE("'",$A$1,"'!M")&amp;($B$1))</f>
        <v>2.2164999999999999</v>
      </c>
      <c r="F5" t="s">
        <v>124</v>
      </c>
      <c r="N5" s="6"/>
    </row>
    <row r="6" spans="1:14" x14ac:dyDescent="0.35">
      <c r="A6" s="6" t="str">
        <f ca="1">INDIRECT(CONCATENATE("'",$A$1,"'!A")&amp;($B$1+1))</f>
        <v>Bolivia</v>
      </c>
      <c r="B6">
        <f ca="1">INDIRECT(CONCATENATE("'",$A$1,"'!B")&amp;($B$1+1))</f>
        <v>-0.52439999999999998</v>
      </c>
      <c r="C6">
        <f ca="1">INDIRECT(CONCATENATE("'",$A$1,"'!E")&amp;($B$1+1))</f>
        <v>0.1517</v>
      </c>
      <c r="D6">
        <f ca="1">INDIRECT(CONCATENATE("'",$A$1,"'!H")&amp;($B$1+1))</f>
        <v>-5.1799999999999999E-2</v>
      </c>
      <c r="E6">
        <f ca="1">INDIRECT(CONCATENATE("'",$A$1,"'!K")&amp;($B$1+1))</f>
        <v>0.42449999999999999</v>
      </c>
      <c r="N6" s="6"/>
    </row>
    <row r="7" spans="1:14" x14ac:dyDescent="0.35">
      <c r="A7" s="6"/>
      <c r="B7">
        <f ca="1">INDIRECT(CONCATENATE("'",$A$1,"'!D")&amp;($B$1+1))</f>
        <v>-3.0093999999999999</v>
      </c>
      <c r="C7">
        <f ca="1">INDIRECT(CONCATENATE("'",$A$1,"'!G")&amp;($B$1+1))</f>
        <v>0.57930000000000004</v>
      </c>
      <c r="D7">
        <f ca="1">INDIRECT(CONCATENATE("'",$A$1,"'!J")&amp;($B$1+1))</f>
        <v>-0.24160000000000001</v>
      </c>
      <c r="E7">
        <f ca="1">INDIRECT(CONCATENATE("'",$A$1,"'!M")&amp;($B$1+1))</f>
        <v>1.141</v>
      </c>
      <c r="N7" s="6"/>
    </row>
    <row r="8" spans="1:14" x14ac:dyDescent="0.35">
      <c r="A8" s="6" t="str">
        <f ca="1">INDIRECT(CONCATENATE("'",$A$1,"'!A")&amp;($B$1+2))</f>
        <v>Ecuador</v>
      </c>
      <c r="B8">
        <f ca="1">INDIRECT(CONCATENATE("'",$A$1,"'!B")&amp;($B$1+2))</f>
        <v>0.11409999999999999</v>
      </c>
      <c r="C8">
        <f ca="1">INDIRECT(CONCATENATE("'",$A$1,"'!E")&amp;($B$1+2))</f>
        <v>-0.1439</v>
      </c>
      <c r="D8">
        <f ca="1">INDIRECT(CONCATENATE("'",$A$1,"'!H")&amp;($B$1+2))</f>
        <v>0.39019999999999999</v>
      </c>
      <c r="E8">
        <f ca="1">INDIRECT(CONCATENATE("'",$A$1,"'!K")&amp;($B$1+2))</f>
        <v>-0.3604</v>
      </c>
      <c r="N8" s="6"/>
    </row>
    <row r="9" spans="1:14" x14ac:dyDescent="0.35">
      <c r="A9" s="6"/>
      <c r="B9">
        <f ca="1">INDIRECT(CONCATENATE("'",$A$1,"'!D")&amp;($B$1+2))</f>
        <v>0.63149999999999995</v>
      </c>
      <c r="C9">
        <f ca="1">INDIRECT(CONCATENATE("'",$A$1,"'!G")&amp;($B$1+2))</f>
        <v>-0.59850000000000003</v>
      </c>
      <c r="D9">
        <f ca="1">INDIRECT(CONCATENATE("'",$A$1,"'!J")&amp;($B$1+2))</f>
        <v>1.9519</v>
      </c>
      <c r="E9">
        <f ca="1">INDIRECT(CONCATENATE("'",$A$1,"'!M")&amp;($B$1+2))</f>
        <v>-0.82530000000000003</v>
      </c>
      <c r="N9" s="6"/>
    </row>
    <row r="10" spans="1:14" x14ac:dyDescent="0.35">
      <c r="A10" s="6" t="str">
        <f ca="1">INDIRECT(CONCATENATE("'",$A$1,"'!A")&amp;($B$1+3))</f>
        <v>Paraguay</v>
      </c>
      <c r="B10">
        <f ca="1">INDIRECT(CONCATENATE("'",$A$1,"'!B")&amp;($B$1+3))</f>
        <v>0.2447</v>
      </c>
      <c r="C10">
        <f ca="1">INDIRECT(CONCATENATE("'",$A$1,"'!E")&amp;($B$1+3))</f>
        <v>-9.5999999999999992E-3</v>
      </c>
      <c r="D10">
        <f ca="1">INDIRECT(CONCATENATE("'",$A$1,"'!H")&amp;($B$1+3))</f>
        <v>-6.6E-3</v>
      </c>
      <c r="E10">
        <f ca="1">INDIRECT(CONCATENATE("'",$A$1,"'!K")&amp;($B$1+3))</f>
        <v>-0.2286</v>
      </c>
      <c r="N10" s="6"/>
    </row>
    <row r="11" spans="1:14" x14ac:dyDescent="0.35">
      <c r="A11" s="6"/>
      <c r="B11">
        <f ca="1">INDIRECT(CONCATENATE("'",$A$1,"'!D")&amp;($B$1+3))</f>
        <v>1.2341</v>
      </c>
      <c r="C11">
        <f ca="1">INDIRECT(CONCATENATE("'",$A$1,"'!G")&amp;($B$1+3))</f>
        <v>-4.2299999999999997E-2</v>
      </c>
      <c r="D11">
        <f ca="1">INDIRECT(CONCATENATE("'",$A$1,"'!J")&amp;($B$1+3))</f>
        <v>-3.04E-2</v>
      </c>
      <c r="E11">
        <f ca="1">INDIRECT(CONCATENATE("'",$A$1,"'!M")&amp;($B$1+3))</f>
        <v>-0.43519999999999998</v>
      </c>
    </row>
    <row r="12" spans="1:14" x14ac:dyDescent="0.35">
      <c r="A12" s="6" t="str">
        <f ca="1">INDIRECT(CONCATENATE("'",$A$1,"'!A")&amp;($B$1+4))</f>
        <v>Peru</v>
      </c>
      <c r="B12">
        <f ca="1">INDIRECT(CONCATENATE("'",$A$1,"'!B")&amp;($B$1+4))</f>
        <v>0.74280000000000002</v>
      </c>
      <c r="C12">
        <f ca="1">INDIRECT(CONCATENATE("'",$A$1,"'!E")&amp;($B$1+4))</f>
        <v>0.39379999999999998</v>
      </c>
      <c r="D12">
        <f ca="1">INDIRECT(CONCATENATE("'",$A$1,"'!H")&amp;($B$1+4))</f>
        <v>0.442</v>
      </c>
      <c r="E12">
        <f ca="1">INDIRECT(CONCATENATE("'",$A$1,"'!K")&amp;($B$1+4))</f>
        <v>-1.5785</v>
      </c>
      <c r="N12" s="6"/>
    </row>
    <row r="13" spans="1:14" x14ac:dyDescent="0.35">
      <c r="A13" s="6"/>
      <c r="B13">
        <f ca="1">INDIRECT(CONCATENATE("'",$A$1,"'!D")&amp;($B$1+4))</f>
        <v>3.4344000000000001</v>
      </c>
      <c r="C13">
        <f ca="1">INDIRECT(CONCATENATE("'",$A$1,"'!G")&amp;($B$1+4))</f>
        <v>1.5911999999999999</v>
      </c>
      <c r="D13">
        <f ca="1">INDIRECT(CONCATENATE("'",$A$1,"'!J")&amp;($B$1+4))</f>
        <v>1.8369</v>
      </c>
      <c r="E13">
        <f ca="1">INDIRECT(CONCATENATE("'",$A$1,"'!M")&amp;($B$1+4))</f>
        <v>-2.5998999999999999</v>
      </c>
      <c r="N13" s="6"/>
    </row>
    <row r="14" spans="1:14" x14ac:dyDescent="0.35">
      <c r="A14" s="6" t="str">
        <f ca="1">INDIRECT(CONCATENATE("'",$A$1,"'!A")&amp;($B$1+5))</f>
        <v>Uruguay</v>
      </c>
      <c r="B14">
        <f ca="1">INDIRECT(CONCATENATE("'",$A$1,"'!B")&amp;($B$1+5))</f>
        <v>-0.4254</v>
      </c>
      <c r="C14">
        <f ca="1">INDIRECT(CONCATENATE("'",$A$1,"'!E")&amp;($B$1+5))</f>
        <v>-0.3982</v>
      </c>
      <c r="D14">
        <f ca="1">INDIRECT(CONCATENATE("'",$A$1,"'!H")&amp;($B$1+5))</f>
        <v>-0.23369999999999999</v>
      </c>
      <c r="E14">
        <f ca="1">INDIRECT(CONCATENATE("'",$A$1,"'!K")&amp;($B$1+5))</f>
        <v>1.0572999999999999</v>
      </c>
      <c r="N14" s="6"/>
    </row>
    <row r="15" spans="1:14" x14ac:dyDescent="0.35">
      <c r="B15">
        <f ca="1">INDIRECT(CONCATENATE("'",$A$1,"'!D")&amp;($B$1+5))</f>
        <v>-2.3721000000000001</v>
      </c>
      <c r="C15">
        <f ca="1">INDIRECT(CONCATENATE("'",$A$1,"'!G")&amp;($B$1+5))</f>
        <v>-1.6628000000000001</v>
      </c>
      <c r="D15">
        <f ca="1">INDIRECT(CONCATENATE("'",$A$1,"'!J")&amp;($B$1+5))</f>
        <v>-1.0666</v>
      </c>
      <c r="E15">
        <f ca="1">INDIRECT(CONCATENATE("'",$A$1,"'!M")&amp;($B$1+5))</f>
        <v>2.5097</v>
      </c>
      <c r="N15" s="7"/>
    </row>
    <row r="16" spans="1:14" x14ac:dyDescent="0.35">
      <c r="N16" s="6"/>
    </row>
    <row r="17" spans="1:14" x14ac:dyDescent="0.35">
      <c r="A17" t="s">
        <v>121</v>
      </c>
      <c r="B17">
        <v>212</v>
      </c>
      <c r="N17" s="6"/>
    </row>
    <row r="18" spans="1:14" x14ac:dyDescent="0.35">
      <c r="A18" s="6" t="s">
        <v>120</v>
      </c>
      <c r="B18" s="6" t="str">
        <f ca="1">CONCATENATE("Cluster ",INDIRECT(CONCATENATE("'",$A$1,"'!B")&amp;($B$17-1)))</f>
        <v>Cluster 1</v>
      </c>
      <c r="C18" s="6" t="str">
        <f ca="1">CONCATENATE("Cluster ",INDIRECT(CONCATENATE("'",$A$1,"'!D")&amp;($B$17-1)))</f>
        <v>Cluster 2</v>
      </c>
      <c r="D18" s="6" t="str">
        <f ca="1">CONCATENATE("Cluster ",INDIRECT(CONCATENATE("'",$A$1,"'!F")&amp;($B$17-1)))</f>
        <v>Cluster 3</v>
      </c>
      <c r="E18" s="6" t="str">
        <f ca="1">CONCATENATE("Cluster ",INDIRECT(CONCATENATE("'",$A$1,"'!H")&amp;($B$17-1)))</f>
        <v>Cluster 4</v>
      </c>
      <c r="N18" s="7"/>
    </row>
    <row r="19" spans="1:14" x14ac:dyDescent="0.35">
      <c r="A19" s="6" t="s">
        <v>120</v>
      </c>
      <c r="B19" s="6" t="s">
        <v>217</v>
      </c>
      <c r="C19" s="6" t="s">
        <v>214</v>
      </c>
      <c r="D19" s="6" t="s">
        <v>215</v>
      </c>
      <c r="E19" s="6" t="s">
        <v>213</v>
      </c>
      <c r="N19" s="6"/>
    </row>
    <row r="20" spans="1:14" x14ac:dyDescent="0.35">
      <c r="A20" s="6" t="str">
        <f ca="1">INDIRECT(CONCATENATE("'",$A$1,"'!A")&amp;($B$17))</f>
        <v>Argentina</v>
      </c>
      <c r="B20">
        <f ca="1">INDIRECT(CONCATENATE("'",$A$1,"'!B")&amp;($B$17))</f>
        <v>0.67079999999999995</v>
      </c>
      <c r="C20">
        <f ca="1">INDIRECT(CONCATENATE("'",$A$1,"'!D")&amp;($B$17))</f>
        <v>0.18559999999999999</v>
      </c>
      <c r="D20">
        <f ca="1">INDIRECT(CONCATENATE("'",$A$1,"'!F")&amp;($B$17))</f>
        <v>0.12239999999999999</v>
      </c>
      <c r="E20">
        <f ca="1">INDIRECT(CONCATENATE("'",$A$1,"'!H")&amp;($B$17))</f>
        <v>2.12E-2</v>
      </c>
      <c r="F20" t="s">
        <v>118</v>
      </c>
      <c r="G20">
        <f ca="1">B20-1.96*B21</f>
        <v>0.61474399999999996</v>
      </c>
      <c r="N20" s="6"/>
    </row>
    <row r="21" spans="1:14" s="9" customFormat="1" x14ac:dyDescent="0.35">
      <c r="A21" s="6"/>
      <c r="B21">
        <f ca="1">INDIRECT(CONCATENATE("'",$A$1,"'!C")&amp;($B$17))</f>
        <v>2.86E-2</v>
      </c>
      <c r="C21">
        <f ca="1">INDIRECT(CONCATENATE("'",$A$1,"'!E")&amp;($B$17))</f>
        <v>2.52E-2</v>
      </c>
      <c r="D21">
        <f ca="1">INDIRECT(CONCATENATE("'",$A$1,"'!G")&amp;($B$17))</f>
        <v>2.06E-2</v>
      </c>
      <c r="E21">
        <f ca="1">INDIRECT(CONCATENATE("'",$A$1,"'!I")&amp;($B$17))</f>
        <v>7.7999999999999996E-3</v>
      </c>
      <c r="F21" t="s">
        <v>119</v>
      </c>
      <c r="G21">
        <f ca="1">B23+1.96*B24</f>
        <v>0.63775199999999999</v>
      </c>
      <c r="N21" s="7"/>
    </row>
    <row r="22" spans="1:14" x14ac:dyDescent="0.35">
      <c r="A22" s="7"/>
      <c r="B22" s="8">
        <f ca="1">B20/B21</f>
        <v>23.454545454545453</v>
      </c>
      <c r="C22" s="8">
        <f ca="1">C20/C21</f>
        <v>7.3650793650793647</v>
      </c>
      <c r="D22" s="8">
        <f ca="1">D20/D21</f>
        <v>5.941747572815534</v>
      </c>
      <c r="E22" s="8">
        <f ca="1">E20/E21</f>
        <v>2.7179487179487181</v>
      </c>
      <c r="F22" s="9"/>
      <c r="G22" s="9"/>
    </row>
    <row r="23" spans="1:14" x14ac:dyDescent="0.35">
      <c r="A23" s="6" t="str">
        <f ca="1">INDIRECT(CONCATENATE("'",$A$1,"'!A")&amp;($B$17+1))</f>
        <v>Bolivia</v>
      </c>
      <c r="B23">
        <f ca="1">INDIRECT(CONCATENATE("'",$A$1,"'!B")&amp;($B$17+1))</f>
        <v>0.51780000000000004</v>
      </c>
      <c r="C23">
        <f ca="1">INDIRECT(CONCATENATE("'",$A$1,"'!D")&amp;($B$17+1))</f>
        <v>0.24049999999999999</v>
      </c>
      <c r="D23">
        <f ca="1">INDIRECT(CONCATENATE("'",$A$1,"'!F")&amp;($B$17+1))</f>
        <v>0.2235</v>
      </c>
      <c r="E23">
        <f ca="1">INDIRECT(CONCATENATE("'",$A$1,"'!H")&amp;($B$17+1))</f>
        <v>1.83E-2</v>
      </c>
    </row>
    <row r="24" spans="1:14" s="9" customFormat="1" x14ac:dyDescent="0.35">
      <c r="A24" s="6"/>
      <c r="B24">
        <f ca="1">INDIRECT(CONCATENATE("'",$A$1,"'!C")&amp;($B$17+1))</f>
        <v>6.1199999999999997E-2</v>
      </c>
      <c r="C24">
        <f ca="1">INDIRECT(CONCATENATE("'",$A$1,"'!E")&amp;($B$17+1))</f>
        <v>6.7699999999999996E-2</v>
      </c>
      <c r="D24">
        <f ca="1">INDIRECT(CONCATENATE("'",$A$1,"'!G")&amp;($B$17+1))</f>
        <v>4.6600000000000003E-2</v>
      </c>
      <c r="E24">
        <f ca="1">INDIRECT(CONCATENATE("'",$A$1,"'!I")&amp;($B$17+1))</f>
        <v>8.9999999999999993E-3</v>
      </c>
      <c r="F24"/>
      <c r="G24"/>
      <c r="N24"/>
    </row>
    <row r="25" spans="1:14" x14ac:dyDescent="0.35">
      <c r="A25" s="7"/>
      <c r="B25" s="8">
        <f ca="1">B23/B24</f>
        <v>8.4607843137254903</v>
      </c>
      <c r="C25" s="8">
        <f ca="1">C23/C24</f>
        <v>3.552437223042836</v>
      </c>
      <c r="D25" s="8">
        <f ca="1">D23/D24</f>
        <v>4.796137339055794</v>
      </c>
      <c r="E25" s="8">
        <f ca="1">E23/E24</f>
        <v>2.0333333333333337</v>
      </c>
      <c r="F25" s="9"/>
      <c r="G25" s="9"/>
    </row>
    <row r="26" spans="1:14" x14ac:dyDescent="0.35">
      <c r="A26" s="6" t="str">
        <f ca="1">INDIRECT(CONCATENATE("'",$A$1,"'!A")&amp;($B$17+2))</f>
        <v>Ecuador</v>
      </c>
      <c r="B26">
        <f ca="1">INDIRECT(CONCATENATE("'",$A$1,"'!B")&amp;($B$17+2))</f>
        <v>0.64700000000000002</v>
      </c>
      <c r="C26">
        <f ca="1">INDIRECT(CONCATENATE("'",$A$1,"'!D")&amp;($B$17+2))</f>
        <v>0.1181</v>
      </c>
      <c r="D26">
        <f ca="1">INDIRECT(CONCATENATE("'",$A$1,"'!F")&amp;($B$17+2))</f>
        <v>0.22939999999999999</v>
      </c>
      <c r="E26">
        <f ca="1">INDIRECT(CONCATENATE("'",$A$1,"'!H")&amp;($B$17+2))</f>
        <v>5.4999999999999997E-3</v>
      </c>
    </row>
    <row r="27" spans="1:14" s="9" customFormat="1" x14ac:dyDescent="0.35">
      <c r="A27" s="6"/>
      <c r="B27">
        <f ca="1">INDIRECT(CONCATENATE("'",$A$1,"'!C")&amp;($B$17+2))</f>
        <v>4.3400000000000001E-2</v>
      </c>
      <c r="C27">
        <f ca="1">INDIRECT(CONCATENATE("'",$A$1,"'!E")&amp;($B$17+2))</f>
        <v>3.1399999999999997E-2</v>
      </c>
      <c r="D27">
        <f ca="1">INDIRECT(CONCATENATE("'",$A$1,"'!G")&amp;($B$17+2))</f>
        <v>3.5000000000000003E-2</v>
      </c>
      <c r="E27">
        <f ca="1">INDIRECT(CONCATENATE("'",$A$1,"'!I")&amp;($B$17+2))</f>
        <v>3.3999999999999998E-3</v>
      </c>
      <c r="F27"/>
      <c r="G27"/>
      <c r="N27"/>
    </row>
    <row r="28" spans="1:14" x14ac:dyDescent="0.35">
      <c r="A28" s="7"/>
      <c r="B28" s="8">
        <f ca="1">B26/B27</f>
        <v>14.907834101382489</v>
      </c>
      <c r="C28" s="8">
        <f ca="1">C26/C27</f>
        <v>3.7611464968152868</v>
      </c>
      <c r="D28" s="8">
        <f ca="1">D26/D27</f>
        <v>6.5542857142857134</v>
      </c>
      <c r="E28" s="8">
        <f ca="1">E26/E27</f>
        <v>1.6176470588235294</v>
      </c>
      <c r="F28" s="9"/>
      <c r="G28" s="9"/>
    </row>
    <row r="29" spans="1:14" x14ac:dyDescent="0.35">
      <c r="A29" s="6" t="str">
        <f ca="1">INDIRECT(CONCATENATE("'",$A$1,"'!A")&amp;($B$17+3))</f>
        <v>Paraguay</v>
      </c>
      <c r="B29">
        <f ca="1">INDIRECT(CONCATENATE("'",$A$1,"'!B")&amp;($B$17+3))</f>
        <v>0.71379999999999999</v>
      </c>
      <c r="C29">
        <f ca="1">INDIRECT(CONCATENATE("'",$A$1,"'!D")&amp;($B$17+3))</f>
        <v>0.13070000000000001</v>
      </c>
      <c r="D29">
        <f ca="1">INDIRECT(CONCATENATE("'",$A$1,"'!F")&amp;($B$17+3))</f>
        <v>0.14940000000000001</v>
      </c>
      <c r="E29">
        <f ca="1">INDIRECT(CONCATENATE("'",$A$1,"'!H")&amp;($B$17+3))</f>
        <v>6.1000000000000004E-3</v>
      </c>
    </row>
    <row r="30" spans="1:14" s="9" customFormat="1" x14ac:dyDescent="0.35">
      <c r="A30" s="6"/>
      <c r="B30">
        <f ca="1">INDIRECT(CONCATENATE("'",$A$1,"'!C")&amp;($B$17+3))</f>
        <v>3.4799999999999998E-2</v>
      </c>
      <c r="C30">
        <f ca="1">INDIRECT(CONCATENATE("'",$A$1,"'!E")&amp;($B$17+3))</f>
        <v>2.4400000000000002E-2</v>
      </c>
      <c r="D30">
        <f ca="1">INDIRECT(CONCATENATE("'",$A$1,"'!G")&amp;($B$17+3))</f>
        <v>2.41E-2</v>
      </c>
      <c r="E30">
        <f ca="1">INDIRECT(CONCATENATE("'",$A$1,"'!I")&amp;($B$17+3))</f>
        <v>4.7999999999999996E-3</v>
      </c>
      <c r="F30"/>
      <c r="G30"/>
      <c r="N30"/>
    </row>
    <row r="31" spans="1:14" x14ac:dyDescent="0.35">
      <c r="A31" s="7"/>
      <c r="B31" s="8">
        <f ca="1">B29/B30</f>
        <v>20.511494252873565</v>
      </c>
      <c r="C31" s="8">
        <f ca="1">C29/C30</f>
        <v>5.3565573770491808</v>
      </c>
      <c r="D31" s="8">
        <f ca="1">D29/D30</f>
        <v>6.199170124481328</v>
      </c>
      <c r="E31" s="8">
        <f ca="1">E29/E30</f>
        <v>1.2708333333333335</v>
      </c>
      <c r="F31" s="9"/>
      <c r="G31" s="9"/>
    </row>
    <row r="32" spans="1:14" x14ac:dyDescent="0.35">
      <c r="A32" s="6" t="str">
        <f ca="1">INDIRECT(CONCATENATE("'",$A$1,"'!A")&amp;($B$17+4))</f>
        <v>Peru</v>
      </c>
      <c r="B32">
        <f ca="1">INDIRECT(CONCATENATE("'",$A$1,"'!B")&amp;($B$17+4))</f>
        <v>0.73150000000000004</v>
      </c>
      <c r="C32">
        <f ca="1">INDIRECT(CONCATENATE("'",$A$1,"'!D")&amp;($B$17+4))</f>
        <v>0.12189999999999999</v>
      </c>
      <c r="D32">
        <f ca="1">INDIRECT(CONCATENATE("'",$A$1,"'!F")&amp;($B$17+4))</f>
        <v>0.1457</v>
      </c>
      <c r="E32">
        <f ca="1">INDIRECT(CONCATENATE("'",$A$1,"'!H")&amp;($B$17+4))</f>
        <v>1E-3</v>
      </c>
    </row>
    <row r="33" spans="1:7" s="9" customFormat="1" x14ac:dyDescent="0.35">
      <c r="A33" s="6"/>
      <c r="B33">
        <f ca="1">INDIRECT(CONCATENATE("'",$A$1,"'!C")&amp;($B$17+4))</f>
        <v>2.8000000000000001E-2</v>
      </c>
      <c r="C33">
        <f ca="1">INDIRECT(CONCATENATE("'",$A$1,"'!E")&amp;($B$17+4))</f>
        <v>2.2499999999999999E-2</v>
      </c>
      <c r="D33">
        <f ca="1">INDIRECT(CONCATENATE("'",$A$1,"'!G")&amp;($B$17+4))</f>
        <v>2.1000000000000001E-2</v>
      </c>
      <c r="E33">
        <f ca="1">INDIRECT(CONCATENATE("'",$A$1,"'!I")&amp;($B$17+4))</f>
        <v>8.9999999999999998E-4</v>
      </c>
      <c r="F33"/>
      <c r="G33"/>
    </row>
    <row r="34" spans="1:7" x14ac:dyDescent="0.35">
      <c r="A34" s="7"/>
      <c r="B34" s="8">
        <f ca="1">B32/B33</f>
        <v>26.125</v>
      </c>
      <c r="C34" s="8">
        <f ca="1">C32/C33</f>
        <v>5.4177777777777774</v>
      </c>
      <c r="D34" s="8">
        <f ca="1">D32/D33</f>
        <v>6.9380952380952374</v>
      </c>
      <c r="E34" s="8">
        <f ca="1">E32/E33</f>
        <v>1.1111111111111112</v>
      </c>
      <c r="F34" s="9"/>
      <c r="G34" s="9"/>
    </row>
    <row r="35" spans="1:7" x14ac:dyDescent="0.35">
      <c r="A35" s="6" t="str">
        <f ca="1">INDIRECT(CONCATENATE("'",$A$1,"'!A")&amp;($B$17+5))</f>
        <v>Uruguay</v>
      </c>
      <c r="B35">
        <f ca="1">INDIRECT(CONCATENATE("'",$A$1,"'!B")&amp;($B$17+5))</f>
        <v>0.6139</v>
      </c>
      <c r="C35">
        <f ca="1">INDIRECT(CONCATENATE("'",$A$1,"'!D")&amp;($B$17+5))</f>
        <v>0.14899999999999999</v>
      </c>
      <c r="D35">
        <f ca="1">INDIRECT(CONCATENATE("'",$A$1,"'!F")&amp;($B$17+5))</f>
        <v>0.2001</v>
      </c>
      <c r="E35">
        <f ca="1">INDIRECT(CONCATENATE("'",$A$1,"'!H")&amp;($B$17+5))</f>
        <v>3.6999999999999998E-2</v>
      </c>
    </row>
    <row r="36" spans="1:7" s="9" customFormat="1" x14ac:dyDescent="0.35">
      <c r="A36"/>
      <c r="B36">
        <f ca="1">INDIRECT(CONCATENATE("'",$A$1,"'!C")&amp;($B$17+5))</f>
        <v>5.0299999999999997E-2</v>
      </c>
      <c r="C36">
        <f ca="1">INDIRECT(CONCATENATE("'",$A$1,"'!E")&amp;($B$17+5))</f>
        <v>3.8600000000000002E-2</v>
      </c>
      <c r="D36">
        <f ca="1">INDIRECT(CONCATENATE("'",$A$1,"'!G")&amp;($B$17+5))</f>
        <v>4.07E-2</v>
      </c>
      <c r="E36">
        <f ca="1">INDIRECT(CONCATENATE("'",$A$1,"'!I")&amp;($B$17+5))</f>
        <v>2.1299999999999999E-2</v>
      </c>
      <c r="F36"/>
      <c r="G36"/>
    </row>
    <row r="37" spans="1:7" x14ac:dyDescent="0.35">
      <c r="A37" s="7"/>
      <c r="B37" s="8">
        <f ca="1">B35/B36</f>
        <v>12.204771371769384</v>
      </c>
      <c r="C37" s="8">
        <f t="shared" ref="C37" ca="1" si="0">C35/C36</f>
        <v>3.8601036269430047</v>
      </c>
      <c r="D37" s="8">
        <f t="shared" ref="D37" ca="1" si="1">D35/D36</f>
        <v>4.9164619164619161</v>
      </c>
      <c r="E37" s="8">
        <f t="shared" ref="E37" ca="1" si="2">E35/E36</f>
        <v>1.7370892018779343</v>
      </c>
      <c r="F37" s="9"/>
      <c r="G37" s="9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U55"/>
  <sheetViews>
    <sheetView topLeftCell="A10" zoomScale="55" zoomScaleNormal="55" workbookViewId="0">
      <selection activeCell="B4" sqref="B4"/>
    </sheetView>
  </sheetViews>
  <sheetFormatPr defaultRowHeight="14.5" x14ac:dyDescent="0.35"/>
  <cols>
    <col min="1" max="1" width="15.453125" bestFit="1" customWidth="1"/>
    <col min="2" max="2" width="12" bestFit="1" customWidth="1"/>
    <col min="7" max="7" width="11.26953125" bestFit="1" customWidth="1"/>
    <col min="9" max="9" width="15.453125" bestFit="1" customWidth="1"/>
    <col min="15" max="15" width="11.26953125" bestFit="1" customWidth="1"/>
    <col min="17" max="17" width="15.453125" bestFit="1" customWidth="1"/>
    <col min="23" max="23" width="11.26953125" bestFit="1" customWidth="1"/>
    <col min="25" max="25" width="15.453125" bestFit="1" customWidth="1"/>
    <col min="31" max="31" width="11.26953125" bestFit="1" customWidth="1"/>
    <col min="33" max="33" width="15.453125" bestFit="1" customWidth="1"/>
    <col min="39" max="39" width="11.26953125" bestFit="1" customWidth="1"/>
    <col min="41" max="41" width="15.453125" bestFit="1" customWidth="1"/>
    <col min="47" max="47" width="11.26953125" bestFit="1" customWidth="1"/>
  </cols>
  <sheetData>
    <row r="1" spans="1:47" x14ac:dyDescent="0.35">
      <c r="A1" t="s">
        <v>96</v>
      </c>
      <c r="B1">
        <v>155</v>
      </c>
      <c r="D1" s="11"/>
      <c r="I1" t="s">
        <v>97</v>
      </c>
      <c r="J1">
        <v>153</v>
      </c>
      <c r="L1" s="11"/>
      <c r="Q1" t="s">
        <v>98</v>
      </c>
      <c r="R1">
        <v>153</v>
      </c>
      <c r="T1" s="11"/>
      <c r="Y1" t="s">
        <v>99</v>
      </c>
      <c r="Z1">
        <v>152</v>
      </c>
      <c r="AB1" s="11"/>
      <c r="AG1" t="s">
        <v>100</v>
      </c>
      <c r="AH1">
        <v>155</v>
      </c>
      <c r="AJ1" s="11"/>
      <c r="AO1" t="s">
        <v>101</v>
      </c>
      <c r="AP1">
        <v>152</v>
      </c>
      <c r="AR1" s="11"/>
    </row>
    <row r="3" spans="1:47" x14ac:dyDescent="0.35">
      <c r="A3" s="6" t="s">
        <v>102</v>
      </c>
      <c r="B3" s="6" t="str">
        <f ca="1">INDIRECT(CONCATENATE("'",$A$1,"'!B")&amp;($B$1-2))</f>
        <v>Cluster1</v>
      </c>
      <c r="C3" s="6" t="str">
        <f ca="1">INDIRECT(CONCATENATE("'",$A$1,"'!E")&amp;($B$1-2))</f>
        <v>Cluster2</v>
      </c>
      <c r="D3" s="6" t="str">
        <f ca="1">INDIRECT(CONCATENATE("'",$A$1,"'!H")&amp;($B$1-2))</f>
        <v>Cluster3</v>
      </c>
      <c r="E3" s="6" t="str">
        <f ca="1">INDIRECT(CONCATENATE("'",$A$1,"'!K")&amp;($B$1-2))</f>
        <v>Cluster4</v>
      </c>
      <c r="F3" s="6" t="s">
        <v>106</v>
      </c>
      <c r="G3" s="6" t="s">
        <v>9</v>
      </c>
      <c r="I3" s="6" t="s">
        <v>102</v>
      </c>
      <c r="J3" s="6" t="str">
        <f ca="1">INDIRECT(CONCATENATE("'",$I$1,"'!B")&amp;($J$1-2))</f>
        <v>Cluster1</v>
      </c>
      <c r="K3" s="6" t="str">
        <f ca="1">INDIRECT(CONCATENATE("'",$I$1,"'!E")&amp;($J$1-2))</f>
        <v>Cluster2</v>
      </c>
      <c r="L3" s="6" t="str">
        <f ca="1">INDIRECT(CONCATENATE("'",$I$1,"'!H")&amp;($J$1-2))</f>
        <v>Cluster3</v>
      </c>
      <c r="M3" s="6" t="str">
        <f ca="1">INDIRECT(CONCATENATE("'",$I$1,"'!K")&amp;($J$1-2))</f>
        <v>Cluster4</v>
      </c>
      <c r="N3" s="6" t="s">
        <v>106</v>
      </c>
      <c r="O3" s="6" t="s">
        <v>9</v>
      </c>
      <c r="Q3" s="6" t="s">
        <v>102</v>
      </c>
      <c r="R3" s="6" t="str">
        <f ca="1">INDIRECT(CONCATENATE("'",$Q$1,"'!B")&amp;($R$1-2))</f>
        <v>Cluster1</v>
      </c>
      <c r="S3" s="6" t="str">
        <f ca="1">INDIRECT(CONCATENATE("'",$Q$1,"'!E")&amp;($R$1-2))</f>
        <v>Cluster2</v>
      </c>
      <c r="T3" s="6" t="str">
        <f ca="1">INDIRECT(CONCATENATE("'",$Q$1,"'!H")&amp;($R$1-2))</f>
        <v>Cluster3</v>
      </c>
      <c r="U3" s="6" t="str">
        <f ca="1">INDIRECT(CONCATENATE("'",$Q$1,"'!K")&amp;($R$1-2))</f>
        <v>Cluster4</v>
      </c>
      <c r="V3" s="6" t="s">
        <v>106</v>
      </c>
      <c r="W3" s="6" t="s">
        <v>9</v>
      </c>
      <c r="Y3" s="6" t="s">
        <v>102</v>
      </c>
      <c r="Z3" s="6" t="str">
        <f ca="1">INDIRECT(CONCATENATE("'",$Y$1,"'!B")&amp;($Z$1-2))</f>
        <v>Cluster1</v>
      </c>
      <c r="AA3" s="6" t="str">
        <f ca="1">INDIRECT(CONCATENATE("'",$Y$1,"'!E")&amp;($Z$1-2))</f>
        <v>Cluster2</v>
      </c>
      <c r="AB3" s="6" t="str">
        <f ca="1">INDIRECT(CONCATENATE("'",$Y$1,"'!H")&amp;($Z$1-2))</f>
        <v>Cluster3</v>
      </c>
      <c r="AC3" s="6" t="str">
        <f ca="1">INDIRECT(CONCATENATE("'",$Y$1,"'!K")&amp;($Z$1-2))</f>
        <v>Cluster4</v>
      </c>
      <c r="AD3" s="6" t="s">
        <v>106</v>
      </c>
      <c r="AE3" s="6" t="s">
        <v>9</v>
      </c>
      <c r="AG3" s="6" t="s">
        <v>102</v>
      </c>
      <c r="AH3" s="6" t="str">
        <f ca="1">INDIRECT(CONCATENATE("'",$AG$1,"'!B")&amp;($AH$1-2))</f>
        <v>Cluster1</v>
      </c>
      <c r="AI3" s="6" t="str">
        <f ca="1">INDIRECT(CONCATENATE("'",$AG$1,"'!E")&amp;($AH$1-2))</f>
        <v>Cluster2</v>
      </c>
      <c r="AJ3" s="6" t="str">
        <f ca="1">INDIRECT(CONCATENATE("'",$AG$1,"'!H")&amp;($AH$1-2))</f>
        <v>Cluster3</v>
      </c>
      <c r="AK3" s="6" t="str">
        <f ca="1">INDIRECT(CONCATENATE("'",$AG$1,"'!K")&amp;($AH$1-2))</f>
        <v>Cluster4</v>
      </c>
      <c r="AL3" s="6" t="s">
        <v>106</v>
      </c>
      <c r="AM3" s="6" t="s">
        <v>9</v>
      </c>
      <c r="AO3" s="6" t="s">
        <v>102</v>
      </c>
      <c r="AP3" s="6" t="str">
        <f ca="1">INDIRECT(CONCATENATE("'",$AO$1,"'!B")&amp;($AP$1-2))</f>
        <v>Cluster1</v>
      </c>
      <c r="AQ3" s="6" t="str">
        <f ca="1">INDIRECT(CONCATENATE("'",$AO$1,"'!E")&amp;($AP$1-2))</f>
        <v>Cluster2</v>
      </c>
      <c r="AR3" s="6" t="str">
        <f ca="1">INDIRECT(CONCATENATE("'",$AO$1,"'!H")&amp;($AP$1-2))</f>
        <v>Cluster3</v>
      </c>
      <c r="AS3" s="6" t="str">
        <f ca="1">INDIRECT(CONCATENATE("'",$AO$1,"'!K")&amp;($AP$1-2))</f>
        <v>Cluster4</v>
      </c>
      <c r="AT3" s="6" t="s">
        <v>106</v>
      </c>
      <c r="AU3" s="6" t="s">
        <v>9</v>
      </c>
    </row>
    <row r="4" spans="1:47" x14ac:dyDescent="0.35">
      <c r="A4" s="6" t="str">
        <f ca="1">INDIRECT(CONCATENATE("'",$A$1,"'!A")&amp;($B$1))</f>
        <v>Buenos Aires</v>
      </c>
      <c r="B4">
        <f ca="1">INDIRECT(CONCATENATE("'",$A$1,"'!B")&amp;($B$1))</f>
        <v>-9.4467999999999996</v>
      </c>
      <c r="C4">
        <f ca="1">INDIRECT(CONCATENATE("'",$A$1,"'!E")&amp;($B$1))</f>
        <v>-8.9724000000000004</v>
      </c>
      <c r="D4">
        <f ca="1">INDIRECT(CONCATENATE("'",$A$1,"'!H")&amp;($B$1))</f>
        <v>-9.3030000000000008</v>
      </c>
      <c r="E4">
        <f ca="1">INDIRECT(CONCATENATE("'",$A$1,"'!K")&amp;($B$1))</f>
        <v>27.722200000000001</v>
      </c>
      <c r="F4">
        <f ca="1">INDIRECT(CONCATENATE("'",$A$1,"'!N")&amp;($B$1))</f>
        <v>2812367.7593</v>
      </c>
      <c r="G4" t="str">
        <f ca="1">INDIRECT(CONCATENATE("'",$A$1,"'!O")&amp;($B$1))</f>
        <v>5.8e-610670</v>
      </c>
      <c r="I4" s="6" t="str">
        <f ca="1">INDIRECT(CONCATENATE("'",$I$1,"'!A")&amp;($J$1))</f>
        <v>Cochabamba</v>
      </c>
      <c r="J4">
        <f ca="1">INDIRECT(CONCATENATE("'",$I$1,"'!B")&amp;($J$1))</f>
        <v>0.18329999999999999</v>
      </c>
      <c r="K4">
        <f ca="1">INDIRECT(CONCATENATE("'",$I$1,"'!E")&amp;($J$1))</f>
        <v>1.4E-3</v>
      </c>
      <c r="L4">
        <f ca="1">INDIRECT(CONCATENATE("'",$I$1,"'!H")&amp;($J$1))</f>
        <v>-2.64E-2</v>
      </c>
      <c r="M4">
        <f ca="1">INDIRECT(CONCATENATE("'",$I$1,"'!K")&amp;($J$1))</f>
        <v>-0.1583</v>
      </c>
      <c r="N4">
        <f ca="1">INDIRECT(CONCATENATE("'",$I$1,"'!N")&amp;($J$1))</f>
        <v>6.3193999999999999</v>
      </c>
      <c r="O4">
        <f ca="1">INDIRECT(CONCATENATE("'",$I$1,"'!O")&amp;($J$1))</f>
        <v>0.39</v>
      </c>
      <c r="Q4" s="6" t="str">
        <f ca="1">INDIRECT(CONCATENATE("'",$Q$1,"'!A")&amp;($R$1))</f>
        <v>Azuay</v>
      </c>
      <c r="R4">
        <f ca="1">INDIRECT(CONCATENATE("'",$Q$1,"'!B")&amp;($R$1))</f>
        <v>-3.6141000000000001</v>
      </c>
      <c r="S4">
        <f ca="1">INDIRECT(CONCATENATE("'",$Q$1,"'!E")&amp;($R$1))</f>
        <v>-4.0088999999999997</v>
      </c>
      <c r="T4">
        <f ca="1">INDIRECT(CONCATENATE("'",$Q$1,"'!H")&amp;($R$1))</f>
        <v>-4.4850000000000003</v>
      </c>
      <c r="U4">
        <f ca="1">INDIRECT(CONCATENATE("'",$Q$1,"'!K")&amp;($R$1))</f>
        <v>12.1081</v>
      </c>
      <c r="V4">
        <f ca="1">INDIRECT(CONCATENATE("'",$Q$1,"'!N")&amp;($R$1))</f>
        <v>5531.4058000000005</v>
      </c>
      <c r="W4" t="str">
        <f ca="1">INDIRECT(CONCATENATE("'",$Q$1,"'!O")&amp;($R$1))</f>
        <v>2.8e-1195</v>
      </c>
      <c r="Y4" s="6" t="str">
        <f ca="1">INDIRECT(CONCATENATE("'",$Y$1,"'!A")&amp;($Z$1))</f>
        <v>Asuncion</v>
      </c>
      <c r="Z4">
        <f ca="1">INDIRECT(CONCATENATE("'",$Y$1,"'!B")&amp;($Z$1))</f>
        <v>-4.3312999999999997</v>
      </c>
      <c r="AA4">
        <f ca="1">INDIRECT(CONCATENATE("'",$Y$1,"'!E")&amp;($Z$1))</f>
        <v>-4.2202999999999999</v>
      </c>
      <c r="AB4">
        <f ca="1">INDIRECT(CONCATENATE("'",$Y$1,"'!H")&amp;($Z$1))</f>
        <v>-4.0773000000000001</v>
      </c>
      <c r="AC4">
        <f ca="1">INDIRECT(CONCATENATE("'",$Y$1,"'!K")&amp;($Z$1))</f>
        <v>12.6288</v>
      </c>
      <c r="AD4">
        <f ca="1">INDIRECT(CONCATENATE("'",$Y$1,"'!N")&amp;($Z$1))</f>
        <v>4109.5450000000001</v>
      </c>
      <c r="AE4" t="str">
        <f ca="1">INDIRECT(CONCATENATE("'",$Y$1,"'!O")&amp;($Z$1))</f>
        <v>2.2e-891</v>
      </c>
      <c r="AG4" s="6" t="str">
        <f ca="1">INDIRECT(CONCATENATE("'",$AG$1,"'!A")&amp;($AH$1))</f>
        <v>Arequipa</v>
      </c>
      <c r="AH4">
        <f ca="1">INDIRECT(CONCATENATE("'",$AG$1,"'!B")&amp;($AH$1))</f>
        <v>5.726</v>
      </c>
      <c r="AI4">
        <f ca="1">INDIRECT(CONCATENATE("'",$AG$1,"'!E")&amp;($AH$1))</f>
        <v>6.0304000000000002</v>
      </c>
      <c r="AJ4">
        <f ca="1">INDIRECT(CONCATENATE("'",$AG$1,"'!H")&amp;($AH$1))</f>
        <v>5.1109999999999998</v>
      </c>
      <c r="AK4">
        <f ca="1">INDIRECT(CONCATENATE("'",$AG$1,"'!K")&amp;($AH$1))</f>
        <v>-16.8674</v>
      </c>
      <c r="AL4">
        <f ca="1">INDIRECT(CONCATENATE("'",$AG$1,"'!N")&amp;($AH$1))</f>
        <v>52372.905700000003</v>
      </c>
      <c r="AM4" t="str">
        <f ca="1">INDIRECT(CONCATENATE("'",$AG$1,"'!O")&amp;($AH$1))</f>
        <v>2.4e-11353</v>
      </c>
      <c r="AO4" s="6" t="str">
        <f ca="1">INDIRECT(CONCATENATE("'",$AO$1,"'!A")&amp;($AP$1))</f>
        <v>Canelones</v>
      </c>
      <c r="AP4">
        <f ca="1">INDIRECT(CONCATENATE("'",$AO$1,"'!B")&amp;($AP$1))</f>
        <v>0.80379999999999996</v>
      </c>
      <c r="AQ4">
        <f ca="1">INDIRECT(CONCATENATE("'",$AO$1,"'!E")&amp;($AP$1))</f>
        <v>0.77010000000000001</v>
      </c>
      <c r="AR4">
        <f ca="1">INDIRECT(CONCATENATE("'",$AO$1,"'!H")&amp;($AP$1))</f>
        <v>-0.108</v>
      </c>
      <c r="AS4">
        <f ca="1">INDIRECT(CONCATENATE("'",$AO$1,"'!K")&amp;($AP$1))</f>
        <v>-1.4659</v>
      </c>
      <c r="AT4">
        <f ca="1">INDIRECT(CONCATENATE("'",$AO$1,"'!N")&amp;($AP$1))</f>
        <v>9.9837000000000007</v>
      </c>
      <c r="AU4">
        <f ca="1">INDIRECT(CONCATENATE("'",$AO$1,"'!O")&amp;($AP$1))</f>
        <v>1.9E-2</v>
      </c>
    </row>
    <row r="5" spans="1:47" x14ac:dyDescent="0.35">
      <c r="A5" s="6"/>
      <c r="B5">
        <f ca="1">INDIRECT(CONCATENATE("'",$A$1,"'!D")&amp;($B$1))</f>
        <v>-21.672999999999998</v>
      </c>
      <c r="C5">
        <f ca="1">INDIRECT(CONCATENATE("'",$A$1,"'!G")&amp;($B$1))</f>
        <v>-19.077000000000002</v>
      </c>
      <c r="D5">
        <f ca="1">INDIRECT(CONCATENATE("'",$A$1,"'!J")&amp;($B$1))</f>
        <v>-19.444299999999998</v>
      </c>
      <c r="E5">
        <f ca="1">INDIRECT(CONCATENATE("'",$A$1,"'!M")&amp;($B$1))</f>
        <v>22.1157</v>
      </c>
      <c r="I5" s="6"/>
      <c r="J5">
        <f ca="1">INDIRECT(CONCATENATE("'",$I$1,"'!D")&amp;($J$1))</f>
        <v>0.65549999999999997</v>
      </c>
      <c r="K5">
        <f ca="1">INDIRECT(CONCATENATE("'",$I$1,"'!G")&amp;($J$1))</f>
        <v>3.5999999999999999E-3</v>
      </c>
      <c r="L5">
        <f ca="1">INDIRECT(CONCATENATE("'",$I$1,"'!J")&amp;($J$1))</f>
        <v>-7.8200000000000006E-2</v>
      </c>
      <c r="M5">
        <f ca="1">INDIRECT(CONCATENATE("'",$I$1,"'!M")&amp;($J$1))</f>
        <v>-0.2399</v>
      </c>
      <c r="Q5" s="6"/>
      <c r="R5">
        <f ca="1">INDIRECT(CONCATENATE("'",$Q$1,"'!D")&amp;($R$1))</f>
        <v>-10.7242</v>
      </c>
      <c r="S5">
        <f ca="1">INDIRECT(CONCATENATE("'",$Q$1,"'!G")&amp;($R$1))</f>
        <v>-9.0029000000000003</v>
      </c>
      <c r="T5">
        <f ca="1">INDIRECT(CONCATENATE("'",$Q$1,"'!J")&amp;($R$1))</f>
        <v>-15.911899999999999</v>
      </c>
      <c r="U5">
        <f ca="1">INDIRECT(CONCATENATE("'",$Q$1,"'!M")&amp;($R$1))</f>
        <v>21.116</v>
      </c>
      <c r="Y5" s="6"/>
      <c r="Z5">
        <f ca="1">INDIRECT(CONCATENATE("'",$Y$1,"'!D")&amp;($Z$1))</f>
        <v>-19.453800000000001</v>
      </c>
      <c r="AA5">
        <f ca="1">INDIRECT(CONCATENATE("'",$Y$1,"'!G")&amp;($Z$1))</f>
        <v>-14.196099999999999</v>
      </c>
      <c r="AB5">
        <f ca="1">INDIRECT(CONCATENATE("'",$Y$1,"'!J")&amp;($Z$1))</f>
        <v>0</v>
      </c>
      <c r="AC5">
        <f ca="1">INDIRECT(CONCATENATE("'",$Y$1,"'!M")&amp;($Z$1))</f>
        <v>0</v>
      </c>
      <c r="AG5" s="6"/>
      <c r="AH5">
        <f ca="1">INDIRECT(CONCATENATE("'",$AG$1,"'!D")&amp;($AH$1))</f>
        <v>5.3968999999999996</v>
      </c>
      <c r="AI5">
        <f ca="1">INDIRECT(CONCATENATE("'",$AG$1,"'!G")&amp;($AH$1))</f>
        <v>5.2912999999999997</v>
      </c>
      <c r="AJ5">
        <f ca="1">INDIRECT(CONCATENATE("'",$AG$1,"'!J")&amp;($AH$1))</f>
        <v>5.2567000000000004</v>
      </c>
      <c r="AK5">
        <f ca="1">INDIRECT(CONCATENATE("'",$AG$1,"'!M")&amp;($AH$1))</f>
        <v>-5.4919000000000002</v>
      </c>
      <c r="AO5" s="6"/>
      <c r="AP5">
        <f ca="1">INDIRECT(CONCATENATE("'",$AO$1,"'!D")&amp;($AP$1))</f>
        <v>1.6766000000000001</v>
      </c>
      <c r="AQ5">
        <f ca="1">INDIRECT(CONCATENATE("'",$AO$1,"'!G")&amp;($AP$1))</f>
        <v>1.5159</v>
      </c>
      <c r="AR5">
        <f ca="1">INDIRECT(CONCATENATE("'",$AO$1,"'!J")&amp;($AP$1))</f>
        <v>-0.20130000000000001</v>
      </c>
      <c r="AS5">
        <f ca="1">INDIRECT(CONCATENATE("'",$AO$1,"'!M")&amp;($AP$1))</f>
        <v>-1.0559000000000001</v>
      </c>
    </row>
    <row r="6" spans="1:47" x14ac:dyDescent="0.35">
      <c r="A6" s="6" t="str">
        <f ca="1">INDIRECT(CONCATENATE("'",$A$1,"'!A")&amp;($B$1+1))</f>
        <v>Cordoba</v>
      </c>
      <c r="B6">
        <f ca="1">INDIRECT(CONCATENATE("'",$A$1,"'!B")&amp;($B$1+1))</f>
        <v>-9.8002000000000002</v>
      </c>
      <c r="C6">
        <f ca="1">INDIRECT(CONCATENATE("'",$A$1,"'!E")&amp;($B$1+1))</f>
        <v>-9.8655000000000008</v>
      </c>
      <c r="D6">
        <f ca="1">INDIRECT(CONCATENATE("'",$A$1,"'!H")&amp;($B$1+1))</f>
        <v>-9.2684999999999995</v>
      </c>
      <c r="E6">
        <f ca="1">INDIRECT(CONCATENATE("'",$A$1,"'!K")&amp;($B$1+1))</f>
        <v>28.9343</v>
      </c>
      <c r="I6" s="6" t="str">
        <f ca="1">INDIRECT(CONCATENATE("'",$I$1,"'!A")&amp;($J$1+1))</f>
        <v>La Paz</v>
      </c>
      <c r="J6">
        <f ca="1">INDIRECT(CONCATENATE("'",$I$1,"'!B")&amp;($J$1+1))</f>
        <v>0.1071</v>
      </c>
      <c r="K6">
        <f ca="1">INDIRECT(CONCATENATE("'",$I$1,"'!E")&amp;($J$1+1))</f>
        <v>0.47799999999999998</v>
      </c>
      <c r="L6">
        <f ca="1">INDIRECT(CONCATENATE("'",$I$1,"'!H")&amp;($J$1+1))</f>
        <v>-0.50960000000000005</v>
      </c>
      <c r="M6">
        <f ca="1">INDIRECT(CONCATENATE("'",$I$1,"'!K")&amp;($J$1+1))</f>
        <v>-7.5399999999999995E-2</v>
      </c>
      <c r="Q6" s="6" t="str">
        <f ca="1">INDIRECT(CONCATENATE("'",$Q$1,"'!A")&amp;($R$1+1))</f>
        <v>Guayas</v>
      </c>
      <c r="R6">
        <f ca="1">INDIRECT(CONCATENATE("'",$Q$1,"'!B")&amp;($R$1+1))</f>
        <v>7.4782000000000002</v>
      </c>
      <c r="S6">
        <f ca="1">INDIRECT(CONCATENATE("'",$Q$1,"'!E")&amp;($R$1+1))</f>
        <v>8.2181999999999995</v>
      </c>
      <c r="T6">
        <f ca="1">INDIRECT(CONCATENATE("'",$Q$1,"'!H")&amp;($R$1+1))</f>
        <v>7.9314</v>
      </c>
      <c r="U6">
        <f ca="1">INDIRECT(CONCATENATE("'",$Q$1,"'!K")&amp;($R$1+1))</f>
        <v>-23.627800000000001</v>
      </c>
      <c r="Y6" s="6" t="str">
        <f ca="1">INDIRECT(CONCATENATE("'",$Y$1,"'!A")&amp;($Z$1+1))</f>
        <v>Central</v>
      </c>
      <c r="Z6">
        <f ca="1">INDIRECT(CONCATENATE("'",$Y$1,"'!B")&amp;($Z$1+1))</f>
        <v>4.3312999999999997</v>
      </c>
      <c r="AA6">
        <f ca="1">INDIRECT(CONCATENATE("'",$Y$1,"'!E")&amp;($Z$1+1))</f>
        <v>4.2202999999999999</v>
      </c>
      <c r="AB6">
        <f ca="1">INDIRECT(CONCATENATE("'",$Y$1,"'!H")&amp;($Z$1+1))</f>
        <v>4.0773000000000001</v>
      </c>
      <c r="AC6">
        <f ca="1">INDIRECT(CONCATENATE("'",$Y$1,"'!K")&amp;($Z$1+1))</f>
        <v>-12.6288</v>
      </c>
      <c r="AG6" s="6" t="str">
        <f ca="1">INDIRECT(CONCATENATE("'",$AG$1,"'!A")&amp;($AH$1+1))</f>
        <v>Chiclayo</v>
      </c>
      <c r="AH6">
        <f ca="1">INDIRECT(CONCATENATE("'",$AG$1,"'!B")&amp;($AH$1+1))</f>
        <v>7.9054000000000002</v>
      </c>
      <c r="AI6">
        <f ca="1">INDIRECT(CONCATENATE("'",$AG$1,"'!E")&amp;($AH$1+1))</f>
        <v>7.1683000000000003</v>
      </c>
      <c r="AJ6">
        <f ca="1">INDIRECT(CONCATENATE("'",$AG$1,"'!H")&amp;($AH$1+1))</f>
        <v>7.7911000000000001</v>
      </c>
      <c r="AK6">
        <f ca="1">INDIRECT(CONCATENATE("'",$AG$1,"'!K")&amp;($AH$1+1))</f>
        <v>-22.864799999999999</v>
      </c>
      <c r="AO6" s="6" t="str">
        <f ca="1">INDIRECT(CONCATENATE("'",$AO$1,"'!A")&amp;($AP$1+1))</f>
        <v>Montevideo</v>
      </c>
      <c r="AP6">
        <f ca="1">INDIRECT(CONCATENATE("'",$AO$1,"'!B")&amp;($AP$1+1))</f>
        <v>-0.80379999999999996</v>
      </c>
      <c r="AQ6">
        <f ca="1">INDIRECT(CONCATENATE("'",$AO$1,"'!E")&amp;($AP$1+1))</f>
        <v>-0.77010000000000001</v>
      </c>
      <c r="AR6">
        <f ca="1">INDIRECT(CONCATENATE("'",$AO$1,"'!H")&amp;($AP$1+1))</f>
        <v>0.108</v>
      </c>
      <c r="AS6">
        <f ca="1">INDIRECT(CONCATENATE("'",$AO$1,"'!K")&amp;($AP$1+1))</f>
        <v>1.4659</v>
      </c>
    </row>
    <row r="7" spans="1:47" x14ac:dyDescent="0.35">
      <c r="A7" s="6"/>
      <c r="B7">
        <f ca="1">INDIRECT(CONCATENATE("'",$A$1,"'!D")&amp;($B$1+1))</f>
        <v>-20.202400000000001</v>
      </c>
      <c r="C7">
        <f ca="1">INDIRECT(CONCATENATE("'",$A$1,"'!G")&amp;($B$1+1))</f>
        <v>-14.545299999999999</v>
      </c>
      <c r="D7">
        <f ca="1">INDIRECT(CONCATENATE("'",$A$1,"'!J")&amp;($B$1+1))</f>
        <v>0</v>
      </c>
      <c r="E7">
        <f ca="1">INDIRECT(CONCATENATE("'",$A$1,"'!M")&amp;($B$1+1))</f>
        <v>0</v>
      </c>
      <c r="I7" s="6"/>
      <c r="J7">
        <f ca="1">INDIRECT(CONCATENATE("'",$I$1,"'!D")&amp;($J$1+1))</f>
        <v>0.3755</v>
      </c>
      <c r="K7">
        <f ca="1">INDIRECT(CONCATENATE("'",$I$1,"'!G")&amp;($J$1+1))</f>
        <v>1.1236999999999999</v>
      </c>
      <c r="L7">
        <f ca="1">INDIRECT(CONCATENATE("'",$I$1,"'!J")&amp;($J$1+1))</f>
        <v>-1.2393000000000001</v>
      </c>
      <c r="M7">
        <f ca="1">INDIRECT(CONCATENATE("'",$I$1,"'!M")&amp;($J$1+1))</f>
        <v>-0.1173</v>
      </c>
      <c r="Q7" s="6"/>
      <c r="R7">
        <f ca="1">INDIRECT(CONCATENATE("'",$Q$1,"'!D")&amp;($R$1+1))</f>
        <v>22.367599999999999</v>
      </c>
      <c r="S7">
        <f ca="1">INDIRECT(CONCATENATE("'",$Q$1,"'!G")&amp;($R$1+1))</f>
        <v>18.595700000000001</v>
      </c>
      <c r="T7">
        <f ca="1">INDIRECT(CONCATENATE("'",$Q$1,"'!J")&amp;($R$1+1))</f>
        <v>0</v>
      </c>
      <c r="U7">
        <f ca="1">INDIRECT(CONCATENATE("'",$Q$1,"'!M")&amp;($R$1+1))</f>
        <v>0</v>
      </c>
      <c r="Y7" s="6"/>
      <c r="Z7">
        <f ca="1">INDIRECT(CONCATENATE("'",$Y$1,"'!D")&amp;($Z$1+1))</f>
        <v>19.453800000000001</v>
      </c>
      <c r="AA7">
        <f ca="1">INDIRECT(CONCATENATE("'",$Y$1,"'!G")&amp;($Z$1+1))</f>
        <v>14.196099999999999</v>
      </c>
      <c r="AB7">
        <f ca="1">INDIRECT(CONCATENATE("'",$Y$1,"'!J")&amp;($Z$1+1))</f>
        <v>0</v>
      </c>
      <c r="AC7">
        <f ca="1">INDIRECT(CONCATENATE("'",$Y$1,"'!M")&amp;($Z$1+1))</f>
        <v>0</v>
      </c>
      <c r="AG7" s="6"/>
      <c r="AH7">
        <f ca="1">INDIRECT(CONCATENATE("'",$AG$1,"'!D")&amp;($AH$1+1))</f>
        <v>28.826699999999999</v>
      </c>
      <c r="AI7">
        <f ca="1">INDIRECT(CONCATENATE("'",$AG$1,"'!G")&amp;($AH$1+1))</f>
        <v>15.308999999999999</v>
      </c>
      <c r="AJ7">
        <f ca="1">INDIRECT(CONCATENATE("'",$AG$1,"'!J")&amp;($AH$1+1))</f>
        <v>0</v>
      </c>
      <c r="AK7">
        <f ca="1">INDIRECT(CONCATENATE("'",$AG$1,"'!M")&amp;($AH$1+1))</f>
        <v>0</v>
      </c>
      <c r="AO7" s="6"/>
      <c r="AP7">
        <f ca="1">INDIRECT(CONCATENATE("'",$AO$1,"'!D")&amp;($AP$1+1))</f>
        <v>-1.6766000000000001</v>
      </c>
      <c r="AQ7">
        <f ca="1">INDIRECT(CONCATENATE("'",$AO$1,"'!G")&amp;($AP$1+1))</f>
        <v>-1.5159</v>
      </c>
      <c r="AR7">
        <f ca="1">INDIRECT(CONCATENATE("'",$AO$1,"'!J")&amp;($AP$1+1))</f>
        <v>0.20130000000000001</v>
      </c>
      <c r="AS7">
        <f ca="1">INDIRECT(CONCATENATE("'",$AO$1,"'!M")&amp;($AP$1+1))</f>
        <v>1.0559000000000001</v>
      </c>
    </row>
    <row r="8" spans="1:47" x14ac:dyDescent="0.35">
      <c r="A8" s="6" t="str">
        <f ca="1">INDIRECT(CONCATENATE("'",$A$1,"'!A")&amp;($B$1+2))</f>
        <v>Mendoza</v>
      </c>
      <c r="B8">
        <f ca="1">INDIRECT(CONCATENATE("'",$A$1,"'!B")&amp;($B$1+2))</f>
        <v>-1.0755999999999999</v>
      </c>
      <c r="C8">
        <f ca="1">INDIRECT(CONCATENATE("'",$A$1,"'!E")&amp;($B$1+2))</f>
        <v>-0.93</v>
      </c>
      <c r="D8">
        <f ca="1">INDIRECT(CONCATENATE("'",$A$1,"'!H")&amp;($B$1+2))</f>
        <v>-0.65059999999999996</v>
      </c>
      <c r="E8">
        <f ca="1">INDIRECT(CONCATENATE("'",$A$1,"'!K")&amp;($B$1+2))</f>
        <v>2.6562000000000001</v>
      </c>
      <c r="I8" s="6" t="str">
        <f ca="1">INDIRECT(CONCATENATE("'",$I$1,"'!A")&amp;($J$1+2))</f>
        <v>Santa Cruz</v>
      </c>
      <c r="J8">
        <f ca="1">INDIRECT(CONCATENATE("'",$I$1,"'!B")&amp;($J$1+2))</f>
        <v>-0.29039999999999999</v>
      </c>
      <c r="K8">
        <f ca="1">INDIRECT(CONCATENATE("'",$I$1,"'!E")&amp;($J$1+2))</f>
        <v>-0.47939999999999999</v>
      </c>
      <c r="L8">
        <f ca="1">INDIRECT(CONCATENATE("'",$I$1,"'!H")&amp;($J$1+2))</f>
        <v>0.53600000000000003</v>
      </c>
      <c r="M8">
        <f ca="1">INDIRECT(CONCATENATE("'",$I$1,"'!K")&amp;($J$1+2))</f>
        <v>0.23380000000000001</v>
      </c>
      <c r="Q8" s="6" t="str">
        <f ca="1">INDIRECT(CONCATENATE("'",$Q$1,"'!A")&amp;($R$1+2))</f>
        <v>Pichincha</v>
      </c>
      <c r="R8">
        <f ca="1">INDIRECT(CONCATENATE("'",$Q$1,"'!B")&amp;($R$1+2))</f>
        <v>-3.8641000000000001</v>
      </c>
      <c r="S8">
        <f ca="1">INDIRECT(CONCATENATE("'",$Q$1,"'!E")&amp;($R$1+2))</f>
        <v>-4.2092999999999998</v>
      </c>
      <c r="T8">
        <f ca="1">INDIRECT(CONCATENATE("'",$Q$1,"'!H")&amp;($R$1+2))</f>
        <v>-3.4462999999999999</v>
      </c>
      <c r="U8">
        <f ca="1">INDIRECT(CONCATENATE("'",$Q$1,"'!K")&amp;($R$1+2))</f>
        <v>11.5197</v>
      </c>
      <c r="Y8" s="6"/>
      <c r="AG8" s="6" t="str">
        <f ca="1">INDIRECT(CONCATENATE("'",$AG$1,"'!A")&amp;($AH$1+2))</f>
        <v>Lima</v>
      </c>
      <c r="AH8">
        <f ca="1">INDIRECT(CONCATENATE("'",$AG$1,"'!B")&amp;($AH$1+2))</f>
        <v>-3.7492000000000001</v>
      </c>
      <c r="AI8">
        <f ca="1">INDIRECT(CONCATENATE("'",$AG$1,"'!E")&amp;($AH$1+2))</f>
        <v>-3.6606000000000001</v>
      </c>
      <c r="AJ8">
        <f ca="1">INDIRECT(CONCATENATE("'",$AG$1,"'!H")&amp;($AH$1+2))</f>
        <v>-3.7894999999999999</v>
      </c>
      <c r="AK8">
        <f ca="1">INDIRECT(CONCATENATE("'",$AG$1,"'!K")&amp;($AH$1+2))</f>
        <v>11.199299999999999</v>
      </c>
      <c r="AO8" s="6"/>
    </row>
    <row r="9" spans="1:47" x14ac:dyDescent="0.35">
      <c r="A9" s="6"/>
      <c r="B9">
        <f ca="1">INDIRECT(CONCATENATE("'",$A$1,"'!D")&amp;($B$1+2))</f>
        <v>-1.5111000000000001</v>
      </c>
      <c r="C9">
        <f ca="1">INDIRECT(CONCATENATE("'",$A$1,"'!G")&amp;($B$1+2))</f>
        <v>-1.1376999999999999</v>
      </c>
      <c r="D9">
        <f ca="1">INDIRECT(CONCATENATE("'",$A$1,"'!J")&amp;($B$1+2))</f>
        <v>0</v>
      </c>
      <c r="E9">
        <f ca="1">INDIRECT(CONCATENATE("'",$A$1,"'!M")&amp;($B$1+2))</f>
        <v>0</v>
      </c>
      <c r="I9" s="6"/>
      <c r="J9">
        <f ca="1">INDIRECT(CONCATENATE("'",$I$1,"'!D")&amp;($J$1+2))</f>
        <v>-1.0878000000000001</v>
      </c>
      <c r="K9">
        <f ca="1">INDIRECT(CONCATENATE("'",$I$1,"'!G")&amp;($J$1+2))</f>
        <v>-1.0833999999999999</v>
      </c>
      <c r="L9">
        <f ca="1">INDIRECT(CONCATENATE("'",$I$1,"'!J")&amp;($J$1+2))</f>
        <v>1.5497000000000001</v>
      </c>
      <c r="M9">
        <f ca="1">INDIRECT(CONCATENATE("'",$I$1,"'!M")&amp;($J$1+2))</f>
        <v>0.40450000000000003</v>
      </c>
      <c r="Q9" s="6"/>
      <c r="R9">
        <f ca="1">INDIRECT(CONCATENATE("'",$Q$1,"'!D")&amp;($R$1+2))</f>
        <v>-14.3467</v>
      </c>
      <c r="S9">
        <f ca="1">INDIRECT(CONCATENATE("'",$Q$1,"'!G")&amp;($R$1+2))</f>
        <v>-11.3294</v>
      </c>
      <c r="T9">
        <f ca="1">INDIRECT(CONCATENATE("'",$Q$1,"'!J")&amp;($R$1+2))</f>
        <v>0</v>
      </c>
      <c r="U9">
        <f ca="1">INDIRECT(CONCATENATE("'",$Q$1,"'!M")&amp;($R$1+2))</f>
        <v>0</v>
      </c>
      <c r="Y9" s="6"/>
      <c r="AG9" s="6"/>
      <c r="AH9">
        <f ca="1">INDIRECT(CONCATENATE("'",$AG$1,"'!D")&amp;($AH$1+2))</f>
        <v>-6.3998999999999997</v>
      </c>
      <c r="AI9">
        <f ca="1">INDIRECT(CONCATENATE("'",$AG$1,"'!G")&amp;($AH$1+2))</f>
        <v>-6.0069999999999997</v>
      </c>
      <c r="AJ9">
        <f ca="1">INDIRECT(CONCATENATE("'",$AG$1,"'!J")&amp;($AH$1+2))</f>
        <v>-6.0483000000000002</v>
      </c>
      <c r="AK9">
        <f ca="1">INDIRECT(CONCATENATE("'",$AG$1,"'!M")&amp;($AH$1+2))</f>
        <v>6.4173</v>
      </c>
      <c r="AO9" s="6"/>
    </row>
    <row r="10" spans="1:47" x14ac:dyDescent="0.35">
      <c r="A10" s="6" t="str">
        <f ca="1">INDIRECT(CONCATENATE("'",$A$1,"'!A")&amp;($B$1+3))</f>
        <v>Rosario</v>
      </c>
      <c r="B10">
        <f ca="1">INDIRECT(CONCATENATE("'",$A$1,"'!B")&amp;($B$1+3))</f>
        <v>19.587800000000001</v>
      </c>
      <c r="C10">
        <f ca="1">INDIRECT(CONCATENATE("'",$A$1,"'!E")&amp;($B$1+3))</f>
        <v>19.046399999999998</v>
      </c>
      <c r="D10">
        <f ca="1">INDIRECT(CONCATENATE("'",$A$1,"'!H")&amp;($B$1+3))</f>
        <v>18.8171</v>
      </c>
      <c r="E10">
        <f ca="1">INDIRECT(CONCATENATE("'",$A$1,"'!K")&amp;($B$1+3))</f>
        <v>-57.4514</v>
      </c>
      <c r="I10" s="6"/>
      <c r="Q10" s="6"/>
      <c r="Y10" s="6"/>
      <c r="AG10" s="6" t="str">
        <f ca="1">INDIRECT(CONCATENATE("'",$AG$1,"'!A")&amp;($AH$1+3))</f>
        <v>Piura</v>
      </c>
      <c r="AH10">
        <f ca="1">INDIRECT(CONCATENATE("'",$AG$1,"'!B")&amp;($AH$1+3))</f>
        <v>-5.4752000000000001</v>
      </c>
      <c r="AI10">
        <f ca="1">INDIRECT(CONCATENATE("'",$AG$1,"'!E")&amp;($AH$1+3))</f>
        <v>-4.2446999999999999</v>
      </c>
      <c r="AJ10">
        <f ca="1">INDIRECT(CONCATENATE("'",$AG$1,"'!H")&amp;($AH$1+3))</f>
        <v>-4.9302000000000001</v>
      </c>
      <c r="AK10">
        <f ca="1">INDIRECT(CONCATENATE("'",$AG$1,"'!K")&amp;($AH$1+3))</f>
        <v>14.65</v>
      </c>
      <c r="AO10" s="6"/>
    </row>
    <row r="11" spans="1:47" x14ac:dyDescent="0.35">
      <c r="A11" s="6"/>
      <c r="B11">
        <f ca="1">INDIRECT(CONCATENATE("'",$A$1,"'!D")&amp;($B$1+3))</f>
        <v>39.502499999999998</v>
      </c>
      <c r="C11">
        <f ca="1">INDIRECT(CONCATENATE("'",$A$1,"'!G")&amp;($B$1+3))</f>
        <v>24.535499999999999</v>
      </c>
      <c r="D11">
        <f ca="1">INDIRECT(CONCATENATE("'",$A$1,"'!J")&amp;($B$1+3))</f>
        <v>0</v>
      </c>
      <c r="E11">
        <f ca="1">INDIRECT(CONCATENATE("'",$A$1,"'!M")&amp;($B$1+3))</f>
        <v>0</v>
      </c>
      <c r="I11" s="6"/>
      <c r="Q11" s="6"/>
      <c r="Y11" s="6"/>
      <c r="AG11" s="6"/>
      <c r="AH11">
        <f ca="1">INDIRECT(CONCATENATE("'",$AG$1,"'!D")&amp;($AH$1+3))</f>
        <v>-14.423500000000001</v>
      </c>
      <c r="AI11">
        <f ca="1">INDIRECT(CONCATENATE("'",$AG$1,"'!G")&amp;($AH$1+3))</f>
        <v>-8.7806999999999995</v>
      </c>
      <c r="AJ11">
        <f ca="1">INDIRECT(CONCATENATE("'",$AG$1,"'!J")&amp;($AH$1+3))</f>
        <v>0</v>
      </c>
      <c r="AK11">
        <f ca="1">INDIRECT(CONCATENATE("'",$AG$1,"'!M")&amp;($AH$1+3))</f>
        <v>0</v>
      </c>
      <c r="AO11" s="6"/>
    </row>
    <row r="12" spans="1:47" x14ac:dyDescent="0.35">
      <c r="A12" s="6" t="str">
        <f ca="1">INDIRECT(CONCATENATE("'",$A$1,"'!A")&amp;($B$1+4))</f>
        <v>Tucuman</v>
      </c>
      <c r="B12">
        <f ca="1">INDIRECT(CONCATENATE("'",$A$1,"'!B")&amp;($B$1+4))</f>
        <v>0.73480000000000001</v>
      </c>
      <c r="C12">
        <f ca="1">INDIRECT(CONCATENATE("'",$A$1,"'!E")&amp;($B$1+4))</f>
        <v>0.72150000000000003</v>
      </c>
      <c r="D12">
        <f ca="1">INDIRECT(CONCATENATE("'",$A$1,"'!H")&amp;($B$1+4))</f>
        <v>0.40500000000000003</v>
      </c>
      <c r="E12">
        <f ca="1">INDIRECT(CONCATENATE("'",$A$1,"'!K")&amp;($B$1+4))</f>
        <v>-1.8613</v>
      </c>
      <c r="I12" s="6"/>
      <c r="Q12" s="6"/>
      <c r="Y12" s="6"/>
      <c r="AG12" s="6" t="str">
        <f ca="1">INDIRECT(CONCATENATE("'",$AG$1,"'!A")&amp;($AH$1+4))</f>
        <v>Trujillo</v>
      </c>
      <c r="AH12">
        <f ca="1">INDIRECT(CONCATENATE("'",$AG$1,"'!B")&amp;($AH$1+4))</f>
        <v>-4.407</v>
      </c>
      <c r="AI12">
        <f ca="1">INDIRECT(CONCATENATE("'",$AG$1,"'!E")&amp;($AH$1+4))</f>
        <v>-5.2934000000000001</v>
      </c>
      <c r="AJ12">
        <f ca="1">INDIRECT(CONCATENATE("'",$AG$1,"'!H")&amp;($AH$1+4))</f>
        <v>-4.1824000000000003</v>
      </c>
      <c r="AK12">
        <f ca="1">INDIRECT(CONCATENATE("'",$AG$1,"'!K")&amp;($AH$1+4))</f>
        <v>13.8828</v>
      </c>
      <c r="AO12" s="6"/>
    </row>
    <row r="13" spans="1:47" x14ac:dyDescent="0.35">
      <c r="A13" s="6"/>
      <c r="B13">
        <f ca="1">INDIRECT(CONCATENATE("'",$A$1,"'!D")&amp;($B$1+4))</f>
        <v>1.0351999999999999</v>
      </c>
      <c r="C13">
        <f ca="1">INDIRECT(CONCATENATE("'",$A$1,"'!G")&amp;($B$1+4))</f>
        <v>0.76149999999999995</v>
      </c>
      <c r="D13">
        <f ca="1">INDIRECT(CONCATENATE("'",$A$1,"'!J")&amp;($B$1+4))</f>
        <v>0</v>
      </c>
      <c r="E13">
        <f ca="1">INDIRECT(CONCATENATE("'",$A$1,"'!M")&amp;($B$1+4))</f>
        <v>0</v>
      </c>
      <c r="I13" s="6"/>
      <c r="Q13" s="6"/>
      <c r="Y13" s="6"/>
      <c r="AG13" s="6"/>
      <c r="AH13">
        <f ca="1">INDIRECT(CONCATENATE("'",$AG$1,"'!D")&amp;($AH$1+4))</f>
        <v>-9.7220999999999993</v>
      </c>
      <c r="AI13">
        <f ca="1">INDIRECT(CONCATENATE("'",$AG$1,"'!G")&amp;($AH$1+4))</f>
        <v>-9.6044</v>
      </c>
      <c r="AJ13">
        <f ca="1">INDIRECT(CONCATENATE("'",$AG$1,"'!J")&amp;($AH$1+4))</f>
        <v>0</v>
      </c>
      <c r="AK13">
        <f ca="1">INDIRECT(CONCATENATE("'",$AG$1,"'!M")&amp;($AH$1+4))</f>
        <v>0</v>
      </c>
      <c r="AO13" s="6"/>
    </row>
    <row r="14" spans="1:47" x14ac:dyDescent="0.35">
      <c r="A14" s="6"/>
      <c r="I14" s="6"/>
      <c r="Q14" s="6"/>
      <c r="Y14" s="6"/>
      <c r="AG14" s="6"/>
      <c r="AO14" s="6"/>
    </row>
    <row r="15" spans="1:47" x14ac:dyDescent="0.35">
      <c r="A15" s="6"/>
      <c r="I15" s="6"/>
      <c r="Q15" s="6"/>
      <c r="Y15" s="6"/>
      <c r="AG15" s="6"/>
      <c r="AO15" s="6"/>
    </row>
    <row r="16" spans="1:47" x14ac:dyDescent="0.35">
      <c r="A16" t="s">
        <v>121</v>
      </c>
      <c r="B16">
        <v>208</v>
      </c>
      <c r="I16" t="s">
        <v>121</v>
      </c>
      <c r="J16">
        <v>200</v>
      </c>
      <c r="Q16" t="s">
        <v>121</v>
      </c>
      <c r="R16">
        <v>200</v>
      </c>
      <c r="Y16" t="s">
        <v>121</v>
      </c>
      <c r="Z16">
        <v>196</v>
      </c>
      <c r="AG16" t="s">
        <v>121</v>
      </c>
      <c r="AH16">
        <v>208</v>
      </c>
      <c r="AO16" t="s">
        <v>121</v>
      </c>
      <c r="AP16">
        <v>196</v>
      </c>
    </row>
    <row r="17" spans="1:45" x14ac:dyDescent="0.35">
      <c r="A17" s="6" t="s">
        <v>120</v>
      </c>
      <c r="B17" s="6" t="str">
        <f ca="1">CONCATENATE("Cluster ",INDIRECT(CONCATENATE("'",$A$1,"'!B")&amp;($B$16-1)))</f>
        <v>Cluster 1</v>
      </c>
      <c r="C17" s="6" t="str">
        <f ca="1">CONCATENATE("Cluster ",INDIRECT(CONCATENATE("'",$A$1,"'!D")&amp;($B$16-1)))</f>
        <v>Cluster 2</v>
      </c>
      <c r="D17" s="6" t="str">
        <f ca="1">CONCATENATE("Cluster ",INDIRECT(CONCATENATE("'",$A$1,"'!F")&amp;($B$16-1)))</f>
        <v>Cluster 3</v>
      </c>
      <c r="E17" s="6" t="str">
        <f ca="1">CONCATENATE("Cluster ",INDIRECT(CONCATENATE("'",$A$1,"'!H")&amp;($B$16-1)))</f>
        <v>Cluster 4</v>
      </c>
      <c r="I17" s="6" t="s">
        <v>120</v>
      </c>
      <c r="J17" s="6" t="str">
        <f ca="1">CONCATENATE("Cluster ",INDIRECT(CONCATENATE("'",$I$1,"'!B")&amp;($J$16-1)))</f>
        <v>Cluster 1</v>
      </c>
      <c r="K17" s="6" t="str">
        <f ca="1">CONCATENATE("Cluster ",INDIRECT(CONCATENATE("'",$I$1,"'!D")&amp;($J$16-1)))</f>
        <v>Cluster 2</v>
      </c>
      <c r="L17" s="6" t="str">
        <f ca="1">CONCATENATE("Cluster ",INDIRECT(CONCATENATE("'",$I$1,"'!F")&amp;($J$16-1)))</f>
        <v>Cluster 3</v>
      </c>
      <c r="M17" s="6" t="str">
        <f ca="1">CONCATENATE("Cluster ",INDIRECT(CONCATENATE("'",$I$1,"'!H")&amp;($J$16-1)))</f>
        <v>Cluster 4</v>
      </c>
      <c r="Q17" s="6" t="s">
        <v>120</v>
      </c>
      <c r="R17" s="6" t="str">
        <f ca="1">CONCATENATE("Cluster ",INDIRECT(CONCATENATE("'",$Q$1,"'!B")&amp;($R$16-1)))</f>
        <v>Cluster 1</v>
      </c>
      <c r="S17" s="6" t="str">
        <f ca="1">CONCATENATE("Cluster ",INDIRECT(CONCATENATE("'",$Q$1,"'!D")&amp;($R$16-1)))</f>
        <v>Cluster 2</v>
      </c>
      <c r="T17" s="6" t="str">
        <f ca="1">CONCATENATE("Cluster ",INDIRECT(CONCATENATE("'",$Q$1,"'!F")&amp;($R$16-1)))</f>
        <v>Cluster 3</v>
      </c>
      <c r="U17" s="6" t="str">
        <f ca="1">CONCATENATE("Cluster ",INDIRECT(CONCATENATE("'",$Q$1,"'!H")&amp;($R$16-1)))</f>
        <v>Cluster 4</v>
      </c>
      <c r="Y17" s="6" t="s">
        <v>120</v>
      </c>
      <c r="Z17" s="6" t="str">
        <f ca="1">CONCATENATE("Cluster ",INDIRECT(CONCATENATE("'",$Y$1,"'!B")&amp;($Z$16-1)))</f>
        <v>Cluster 1</v>
      </c>
      <c r="AA17" s="6" t="str">
        <f ca="1">CONCATENATE("Cluster ",INDIRECT(CONCATENATE("'",$Y$1,"'!D")&amp;($Z$16-1)))</f>
        <v>Cluster 2</v>
      </c>
      <c r="AB17" s="6" t="str">
        <f ca="1">CONCATENATE("Cluster ",INDIRECT(CONCATENATE("'",$Y$1,"'!F")&amp;($Z$16-1)))</f>
        <v>Cluster 3</v>
      </c>
      <c r="AC17" s="6" t="str">
        <f ca="1">CONCATENATE("Cluster ",INDIRECT(CONCATENATE("'",$Y$1,"'!H")&amp;($Z$16-1)))</f>
        <v>Cluster 4</v>
      </c>
      <c r="AG17" s="6" t="s">
        <v>120</v>
      </c>
      <c r="AH17" s="6" t="str">
        <f ca="1">CONCATENATE("Cluster ",INDIRECT(CONCATENATE("'",$AG$1,"'!B")&amp;($AH$16-1)))</f>
        <v>Cluster 1</v>
      </c>
      <c r="AI17" s="6" t="str">
        <f ca="1">CONCATENATE("Cluster ",INDIRECT(CONCATENATE("'",$AG$1,"'!D")&amp;($AH$16-1)))</f>
        <v>Cluster 2</v>
      </c>
      <c r="AJ17" s="6" t="str">
        <f ca="1">CONCATENATE("Cluster ",INDIRECT(CONCATENATE("'",$AG$1,"'!F")&amp;($AH$16-1)))</f>
        <v>Cluster 3</v>
      </c>
      <c r="AK17" s="6" t="str">
        <f ca="1">CONCATENATE("Cluster ",INDIRECT(CONCATENATE("'",$AG$1,"'!H")&amp;($AH$16-1)))</f>
        <v>Cluster 4</v>
      </c>
      <c r="AO17" s="6" t="s">
        <v>120</v>
      </c>
      <c r="AP17" s="6" t="str">
        <f ca="1">CONCATENATE("Cluster ",INDIRECT(CONCATENATE("'",$AO$1,"'!B")&amp;($AP$16-1)))</f>
        <v>Cluster 1</v>
      </c>
      <c r="AQ17" s="6" t="str">
        <f ca="1">CONCATENATE("Cluster ",INDIRECT(CONCATENATE("'",$AO$1,"'!D")&amp;($AP$16-1)))</f>
        <v>Cluster 2</v>
      </c>
      <c r="AR17" s="6" t="str">
        <f ca="1">CONCATENATE("Cluster ",INDIRECT(CONCATENATE("'",$AO$1,"'!F")&amp;($AP$16-1)))</f>
        <v>Cluster 3</v>
      </c>
      <c r="AS17" s="6" t="str">
        <f ca="1">CONCATENATE("Cluster ",INDIRECT(CONCATENATE("'",$AO$1,"'!H")&amp;($AP$16-1)))</f>
        <v>Cluster 4</v>
      </c>
    </row>
    <row r="18" spans="1:45" x14ac:dyDescent="0.35">
      <c r="A18" s="6" t="str">
        <f ca="1">INDIRECT(CONCATENATE("'",$A$1,"'!A")&amp;($B$16))</f>
        <v>Buenos Aires</v>
      </c>
      <c r="B18">
        <f ca="1">INDIRECT(CONCATENATE("'",$A$1,"'!B")&amp;($B$16))</f>
        <v>0.65410000000000001</v>
      </c>
      <c r="C18">
        <f ca="1">INDIRECT(CONCATENATE("'",$A$1,"'!D")&amp;($B$16))</f>
        <v>0.2</v>
      </c>
      <c r="D18">
        <f ca="1">INDIRECT(CONCATENATE("'",$A$1,"'!F")&amp;($B$16))</f>
        <v>0.12720000000000001</v>
      </c>
      <c r="E18">
        <f ca="1">INDIRECT(CONCATENATE("'",$A$1,"'!H")&amp;($B$16))</f>
        <v>1.8700000000000001E-2</v>
      </c>
      <c r="I18" s="6" t="str">
        <f ca="1">INDIRECT(CONCATENATE("'",$I$1,"'!A")&amp;($J$16))</f>
        <v>Cochabamba</v>
      </c>
      <c r="J18">
        <f ca="1">INDIRECT(CONCATENATE("'",$I$1,"'!B")&amp;($J$16))</f>
        <v>0.61780000000000002</v>
      </c>
      <c r="K18">
        <f ca="1">INDIRECT(CONCATENATE("'",$I$1,"'!D")&amp;($J$16))</f>
        <v>0.2046</v>
      </c>
      <c r="L18">
        <f ca="1">INDIRECT(CONCATENATE("'",$I$1,"'!F")&amp;($J$16))</f>
        <v>0.1641</v>
      </c>
      <c r="M18">
        <f ca="1">INDIRECT(CONCATENATE("'",$I$1,"'!H")&amp;($J$16))</f>
        <v>1.35E-2</v>
      </c>
      <c r="Q18" s="6" t="str">
        <f ca="1">INDIRECT(CONCATENATE("'",$Q$1,"'!A")&amp;($R$16))</f>
        <v>Azuay</v>
      </c>
      <c r="R18">
        <f ca="1">INDIRECT(CONCATENATE("'",$Q$1,"'!B")&amp;($R$16))</f>
        <v>0.80069999999999997</v>
      </c>
      <c r="S18">
        <f ca="1">INDIRECT(CONCATENATE("'",$Q$1,"'!D")&amp;($R$16))</f>
        <v>0.1067</v>
      </c>
      <c r="T18">
        <f ca="1">INDIRECT(CONCATENATE("'",$Q$1,"'!F")&amp;($R$16))</f>
        <v>7.8200000000000006E-2</v>
      </c>
      <c r="U18">
        <f ca="1">INDIRECT(CONCATENATE("'",$Q$1,"'!H")&amp;($R$16))</f>
        <v>1.4500000000000001E-2</v>
      </c>
      <c r="Y18" s="6" t="str">
        <f ca="1">INDIRECT(CONCATENATE("'",$Y$1,"'!A")&amp;($Z$16))</f>
        <v>Asuncion</v>
      </c>
      <c r="Z18">
        <f ca="1">INDIRECT(CONCATENATE("'",$Y$1,"'!B")&amp;($Z$16))</f>
        <v>0.66510000000000002</v>
      </c>
      <c r="AA18">
        <f ca="1">INDIRECT(CONCATENATE("'",$Y$1,"'!D")&amp;($Z$16))</f>
        <v>0.14610000000000001</v>
      </c>
      <c r="AB18">
        <f ca="1">INDIRECT(CONCATENATE("'",$Y$1,"'!F")&amp;($Z$16))</f>
        <v>0.1754</v>
      </c>
      <c r="AC18">
        <f ca="1">INDIRECT(CONCATENATE("'",$Y$1,"'!H")&amp;($Z$16))</f>
        <v>1.34E-2</v>
      </c>
      <c r="AG18" s="6" t="str">
        <f ca="1">INDIRECT(CONCATENATE("'",$AG$1,"'!A")&amp;($AH$16))</f>
        <v>Arequipa</v>
      </c>
      <c r="AH18">
        <f ca="1">INDIRECT(CONCATENATE("'",$AG$1,"'!B")&amp;($AH$16))</f>
        <v>0.74009999999999998</v>
      </c>
      <c r="AI18">
        <f ca="1">INDIRECT(CONCATENATE("'",$AG$1,"'!D")&amp;($AH$16))</f>
        <v>0.1726</v>
      </c>
      <c r="AJ18">
        <f ca="1">INDIRECT(CONCATENATE("'",$AG$1,"'!F")&amp;($AH$16))</f>
        <v>8.7400000000000005E-2</v>
      </c>
      <c r="AK18">
        <f ca="1">INDIRECT(CONCATENATE("'",$AG$1,"'!H")&amp;($AH$16))</f>
        <v>0</v>
      </c>
      <c r="AO18" s="6" t="str">
        <f ca="1">INDIRECT(CONCATENATE("'",$AO$1,"'!A")&amp;($AP$16))</f>
        <v>Canelones</v>
      </c>
      <c r="AP18">
        <f ca="1">INDIRECT(CONCATENATE("'",$AO$1,"'!B")&amp;($AP$16))</f>
        <v>0.77290000000000003</v>
      </c>
      <c r="AQ18">
        <f ca="1">INDIRECT(CONCATENATE("'",$AO$1,"'!D")&amp;($AP$16))</f>
        <v>0.18129999999999999</v>
      </c>
      <c r="AR18">
        <f ca="1">INDIRECT(CONCATENATE("'",$AO$1,"'!F")&amp;($AP$16))</f>
        <v>4.5199999999999997E-2</v>
      </c>
      <c r="AS18">
        <f ca="1">INDIRECT(CONCATENATE("'",$AO$1,"'!H")&amp;($AP$16))</f>
        <v>5.9999999999999995E-4</v>
      </c>
    </row>
    <row r="19" spans="1:45" x14ac:dyDescent="0.35">
      <c r="A19" s="6"/>
      <c r="B19">
        <f ca="1">INDIRECT(CONCATENATE("'",$A$1,"'!C")&amp;($B$16))</f>
        <v>3.4799999999999998E-2</v>
      </c>
      <c r="C19">
        <f ca="1">INDIRECT(CONCATENATE("'",$A$1,"'!E")&amp;($B$16))</f>
        <v>3.0300000000000001E-2</v>
      </c>
      <c r="D19">
        <f ca="1">INDIRECT(CONCATENATE("'",$A$1,"'!G")&amp;($B$16))</f>
        <v>2.3E-2</v>
      </c>
      <c r="E19">
        <f ca="1">INDIRECT(CONCATENATE("'",$A$1,"'!I")&amp;($B$16))</f>
        <v>8.9999999999999993E-3</v>
      </c>
      <c r="I19" s="6"/>
      <c r="J19">
        <f ca="1">INDIRECT(CONCATENATE("'",$I$1,"'!C")&amp;($J$16))</f>
        <v>8.2199999999999995E-2</v>
      </c>
      <c r="K19">
        <f ca="1">INDIRECT(CONCATENATE("'",$I$1,"'!E")&amp;($J$16))</f>
        <v>8.2100000000000006E-2</v>
      </c>
      <c r="L19">
        <f ca="1">INDIRECT(CONCATENATE("'",$I$1,"'!G")&amp;($J$16))</f>
        <v>4.4400000000000002E-2</v>
      </c>
      <c r="M19">
        <f ca="1">INDIRECT(CONCATENATE("'",$I$1,"'!I")&amp;($J$16))</f>
        <v>1.4999999999999999E-2</v>
      </c>
      <c r="Q19" s="6"/>
      <c r="R19">
        <f ca="1">INDIRECT(CONCATENATE("'",$Q$1,"'!C")&amp;($R$16))</f>
        <v>9.3600000000000003E-2</v>
      </c>
      <c r="S19">
        <f ca="1">INDIRECT(CONCATENATE("'",$Q$1,"'!E")&amp;($R$16))</f>
        <v>7.4800000000000005E-2</v>
      </c>
      <c r="T19">
        <f ca="1">INDIRECT(CONCATENATE("'",$Q$1,"'!G")&amp;($R$16))</f>
        <v>4.0300000000000002E-2</v>
      </c>
      <c r="U19">
        <f ca="1">INDIRECT(CONCATENATE("'",$Q$1,"'!I")&amp;($R$16))</f>
        <v>1.6E-2</v>
      </c>
      <c r="Y19" s="6"/>
      <c r="Z19">
        <f ca="1">INDIRECT(CONCATENATE("'",$Y$1,"'!C")&amp;($Z$16))</f>
        <v>2715789.0655</v>
      </c>
      <c r="AA19">
        <f ca="1">INDIRECT(CONCATENATE("'",$Y$1,"'!E")&amp;($Z$16))</f>
        <v>596803.54790000001</v>
      </c>
      <c r="AB19">
        <f ca="1">INDIRECT(CONCATENATE("'",$Y$1,"'!G")&amp;($Z$16))</f>
        <v>3704891.5946</v>
      </c>
      <c r="AC19">
        <f ca="1">INDIRECT(CONCATENATE("'",$Y$1,"'!I")&amp;($Z$16))</f>
        <v>392298.98129999998</v>
      </c>
      <c r="AG19" s="6"/>
      <c r="AH19">
        <f ca="1">INDIRECT(CONCATENATE("'",$AG$1,"'!C")&amp;($AH$16))</f>
        <v>7.8E-2</v>
      </c>
      <c r="AI19">
        <f ca="1">INDIRECT(CONCATENATE("'",$AG$1,"'!E")&amp;($AH$16))</f>
        <v>7.8E-2</v>
      </c>
      <c r="AJ19">
        <f ca="1">INDIRECT(CONCATENATE("'",$AG$1,"'!G")&amp;($AH$16))</f>
        <v>3.3399999999999999E-2</v>
      </c>
      <c r="AK19">
        <f ca="1">INDIRECT(CONCATENATE("'",$AG$1,"'!I")&amp;($AH$16))</f>
        <v>0</v>
      </c>
      <c r="AO19" s="6"/>
      <c r="AP19">
        <f ca="1">INDIRECT(CONCATENATE("'",$AO$1,"'!C")&amp;($AP$16))</f>
        <v>6.9800000000000001E-2</v>
      </c>
      <c r="AQ19">
        <f ca="1">INDIRECT(CONCATENATE("'",$AO$1,"'!E")&amp;($AP$16))</f>
        <v>7.3400000000000007E-2</v>
      </c>
      <c r="AR19">
        <f ca="1">INDIRECT(CONCATENATE("'",$AO$1,"'!G")&amp;($AP$16))</f>
        <v>2.5000000000000001E-2</v>
      </c>
      <c r="AS19">
        <f ca="1">INDIRECT(CONCATENATE("'",$AO$1,"'!I")&amp;($AP$16))</f>
        <v>2.0999999999999999E-3</v>
      </c>
    </row>
    <row r="20" spans="1:45" x14ac:dyDescent="0.35">
      <c r="A20" s="7"/>
      <c r="B20" s="8">
        <f ca="1">B18/B19</f>
        <v>18.795977011494255</v>
      </c>
      <c r="C20" s="8">
        <f t="shared" ref="C20:E20" ca="1" si="0">C18/C19</f>
        <v>6.6006600660066006</v>
      </c>
      <c r="D20" s="8">
        <f t="shared" ca="1" si="0"/>
        <v>5.5304347826086957</v>
      </c>
      <c r="E20" s="8">
        <f t="shared" ca="1" si="0"/>
        <v>2.0777777777777779</v>
      </c>
      <c r="I20" s="7"/>
      <c r="J20" s="8">
        <f ca="1">J18/J19</f>
        <v>7.5158150851581516</v>
      </c>
      <c r="K20" s="8">
        <f t="shared" ref="K20:M20" ca="1" si="1">K18/K19</f>
        <v>2.4920828258221679</v>
      </c>
      <c r="L20" s="8">
        <f t="shared" ca="1" si="1"/>
        <v>3.6959459459459456</v>
      </c>
      <c r="M20" s="8">
        <f t="shared" ca="1" si="1"/>
        <v>0.9</v>
      </c>
      <c r="Q20" s="7"/>
      <c r="R20" s="8">
        <f ca="1">R18/R19</f>
        <v>8.5544871794871788</v>
      </c>
      <c r="S20" s="8">
        <f t="shared" ref="S20:U20" ca="1" si="2">S18/S19</f>
        <v>1.4264705882352942</v>
      </c>
      <c r="T20" s="8">
        <f t="shared" ca="1" si="2"/>
        <v>1.9404466501240696</v>
      </c>
      <c r="U20" s="8">
        <f t="shared" ca="1" si="2"/>
        <v>0.90625</v>
      </c>
      <c r="Y20" s="7"/>
      <c r="Z20" s="8">
        <f ca="1">Z18/Z19</f>
        <v>2.4490119959944292E-7</v>
      </c>
      <c r="AA20" s="8">
        <f t="shared" ref="AA20:AC20" ca="1" si="3">AA18/AA19</f>
        <v>2.4480417469716589E-7</v>
      </c>
      <c r="AB20" s="8">
        <f t="shared" ca="1" si="3"/>
        <v>4.7342815713056548E-8</v>
      </c>
      <c r="AC20" s="8">
        <f t="shared" ca="1" si="3"/>
        <v>3.4157621199002591E-8</v>
      </c>
      <c r="AG20" s="7"/>
      <c r="AH20" s="8">
        <f ca="1">AH18/AH19</f>
        <v>9.4884615384615376</v>
      </c>
      <c r="AI20" s="8">
        <f t="shared" ref="AI20:AK20" ca="1" si="4">AI18/AI19</f>
        <v>2.212820512820513</v>
      </c>
      <c r="AJ20" s="8">
        <f t="shared" ca="1" si="4"/>
        <v>2.6167664670658684</v>
      </c>
      <c r="AK20" s="8" t="e">
        <f t="shared" ca="1" si="4"/>
        <v>#DIV/0!</v>
      </c>
      <c r="AO20" s="7"/>
      <c r="AP20" s="8">
        <f ca="1">AP18/AP19</f>
        <v>11.073065902578797</v>
      </c>
      <c r="AQ20" s="8">
        <f t="shared" ref="AQ20:AS20" ca="1" si="5">AQ18/AQ19</f>
        <v>2.4700272479564029</v>
      </c>
      <c r="AR20" s="8">
        <f t="shared" ca="1" si="5"/>
        <v>1.8079999999999998</v>
      </c>
      <c r="AS20" s="8">
        <f t="shared" ca="1" si="5"/>
        <v>0.2857142857142857</v>
      </c>
    </row>
    <row r="21" spans="1:45" x14ac:dyDescent="0.35">
      <c r="A21" s="6" t="str">
        <f ca="1">INDIRECT(CONCATENATE("'",$A$1,"'!A")&amp;($B$16+1))</f>
        <v>Cordoba</v>
      </c>
      <c r="B21">
        <f ca="1">INDIRECT(CONCATENATE("'",$A$1,"'!B")&amp;($B$16+1))</f>
        <v>0.62429999999999997</v>
      </c>
      <c r="C21">
        <f ca="1">INDIRECT(CONCATENATE("'",$A$1,"'!D")&amp;($B$16+1))</f>
        <v>0.1113</v>
      </c>
      <c r="D21">
        <f ca="1">INDIRECT(CONCATENATE("'",$A$1,"'!F")&amp;($B$16+1))</f>
        <v>0.17899999999999999</v>
      </c>
      <c r="E21">
        <f ca="1">INDIRECT(CONCATENATE("'",$A$1,"'!H")&amp;($B$16+1))</f>
        <v>8.5400000000000004E-2</v>
      </c>
      <c r="I21" s="6" t="str">
        <f ca="1">INDIRECT(CONCATENATE("'",$I$1,"'!A")&amp;($J$16+1))</f>
        <v>La Paz</v>
      </c>
      <c r="J21">
        <f ca="1">INDIRECT(CONCATENATE("'",$I$1,"'!B")&amp;($J$16+1))</f>
        <v>0.56240000000000001</v>
      </c>
      <c r="K21">
        <f ca="1">INDIRECT(CONCATENATE("'",$I$1,"'!D")&amp;($J$16+1))</f>
        <v>0.32369999999999999</v>
      </c>
      <c r="L21">
        <f ca="1">INDIRECT(CONCATENATE("'",$I$1,"'!F")&amp;($J$16+1))</f>
        <v>9.9400000000000002E-2</v>
      </c>
      <c r="M21">
        <f ca="1">INDIRECT(CONCATENATE("'",$I$1,"'!H")&amp;($J$16+1))</f>
        <v>1.44E-2</v>
      </c>
      <c r="Q21" s="6" t="str">
        <f ca="1">INDIRECT(CONCATENATE("'",$Q$1,"'!A")&amp;($R$16+1))</f>
        <v>Guayas</v>
      </c>
      <c r="R21">
        <f ca="1">INDIRECT(CONCATENATE("'",$Q$1,"'!B")&amp;($R$16+1))</f>
        <v>0.56140000000000001</v>
      </c>
      <c r="S21">
        <f ca="1">INDIRECT(CONCATENATE("'",$Q$1,"'!D")&amp;($R$16+1))</f>
        <v>0.23269999999999999</v>
      </c>
      <c r="T21">
        <f ca="1">INDIRECT(CONCATENATE("'",$Q$1,"'!F")&amp;($R$16+1))</f>
        <v>0.20599999999999999</v>
      </c>
      <c r="U21">
        <f ca="1">INDIRECT(CONCATENATE("'",$Q$1,"'!H")&amp;($R$16+1))</f>
        <v>0</v>
      </c>
      <c r="Y21" s="6" t="str">
        <f ca="1">INDIRECT(CONCATENATE("'",$Y$1,"'!A")&amp;($Z$16+1))</f>
        <v>Central</v>
      </c>
      <c r="Z21">
        <f ca="1">INDIRECT(CONCATENATE("'",$Y$1,"'!B")&amp;($Z$16+1))</f>
        <v>0.74919999999999998</v>
      </c>
      <c r="AA21">
        <f ca="1">INDIRECT(CONCATENATE("'",$Y$1,"'!D")&amp;($Z$16+1))</f>
        <v>0.13189999999999999</v>
      </c>
      <c r="AB21">
        <f ca="1">INDIRECT(CONCATENATE("'",$Y$1,"'!F")&amp;($Z$16+1))</f>
        <v>0.11890000000000001</v>
      </c>
      <c r="AC21">
        <f ca="1">INDIRECT(CONCATENATE("'",$Y$1,"'!H")&amp;($Z$16+1))</f>
        <v>0</v>
      </c>
      <c r="AG21" s="6" t="str">
        <f ca="1">INDIRECT(CONCATENATE("'",$AG$1,"'!A")&amp;($AH$16+1))</f>
        <v>Chiclayo</v>
      </c>
      <c r="AH21">
        <f ca="1">INDIRECT(CONCATENATE("'",$AG$1,"'!B")&amp;($AH$16+1))</f>
        <v>0.78310000000000002</v>
      </c>
      <c r="AI21">
        <f ca="1">INDIRECT(CONCATENATE("'",$AG$1,"'!D")&amp;($AH$16+1))</f>
        <v>6.4399999999999999E-2</v>
      </c>
      <c r="AJ21">
        <f ca="1">INDIRECT(CONCATENATE("'",$AG$1,"'!F")&amp;($AH$16+1))</f>
        <v>0.1525</v>
      </c>
      <c r="AK21">
        <f ca="1">INDIRECT(CONCATENATE("'",$AG$1,"'!H")&amp;($AH$16+1))</f>
        <v>0</v>
      </c>
      <c r="AO21" s="6" t="str">
        <f ca="1">INDIRECT(CONCATENATE("'",$AO$1,"'!A")&amp;($AP$16+1))</f>
        <v>Montevideo</v>
      </c>
      <c r="AP21">
        <f ca="1">INDIRECT(CONCATENATE("'",$AO$1,"'!B")&amp;($AP$16+1))</f>
        <v>0.59450000000000003</v>
      </c>
      <c r="AQ21">
        <f ca="1">INDIRECT(CONCATENATE("'",$AO$1,"'!D")&amp;($AP$16+1))</f>
        <v>0.14910000000000001</v>
      </c>
      <c r="AR21">
        <f ca="1">INDIRECT(CONCATENATE("'",$AO$1,"'!F")&amp;($AP$16+1))</f>
        <v>0.21560000000000001</v>
      </c>
      <c r="AS21">
        <f ca="1">INDIRECT(CONCATENATE("'",$AO$1,"'!H")&amp;($AP$16+1))</f>
        <v>4.0800000000000003E-2</v>
      </c>
    </row>
    <row r="22" spans="1:45" x14ac:dyDescent="0.35">
      <c r="A22" s="6"/>
      <c r="B22">
        <f ca="1">INDIRECT(CONCATENATE("'",$A$1,"'!C")&amp;($B$16+1))</f>
        <v>1523507.6037999999</v>
      </c>
      <c r="C22">
        <f ca="1">INDIRECT(CONCATENATE("'",$A$1,"'!E")&amp;($B$16+1))</f>
        <v>271513.6654</v>
      </c>
      <c r="D22">
        <f ca="1">INDIRECT(CONCATENATE("'",$A$1,"'!G")&amp;($B$16+1))</f>
        <v>4230660.4031999996</v>
      </c>
      <c r="E22">
        <f ca="1">INDIRECT(CONCATENATE("'",$A$1,"'!I")&amp;($B$16+1))</f>
        <v>2435639.1340999999</v>
      </c>
      <c r="I22" s="6"/>
      <c r="J22">
        <f ca="1">INDIRECT(CONCATENATE("'",$I$1,"'!C")&amp;($J$16+1))</f>
        <v>0.11940000000000001</v>
      </c>
      <c r="K22">
        <f ca="1">INDIRECT(CONCATENATE("'",$I$1,"'!E")&amp;($J$16+1))</f>
        <v>0.1361</v>
      </c>
      <c r="L22">
        <f ca="1">INDIRECT(CONCATENATE("'",$I$1,"'!G")&amp;($J$16+1))</f>
        <v>5.74E-2</v>
      </c>
      <c r="M22">
        <f ca="1">INDIRECT(CONCATENATE("'",$I$1,"'!I")&amp;($J$16+1))</f>
        <v>1.4999999999999999E-2</v>
      </c>
      <c r="Q22" s="6"/>
      <c r="R22">
        <f ca="1">INDIRECT(CONCATENATE("'",$Q$1,"'!C")&amp;($R$16+1))</f>
        <v>4663014.7537000002</v>
      </c>
      <c r="S22">
        <f ca="1">INDIRECT(CONCATENATE("'",$Q$1,"'!E")&amp;($R$16+1))</f>
        <v>1932670.1158</v>
      </c>
      <c r="T22">
        <f ca="1">INDIRECT(CONCATENATE("'",$Q$1,"'!G")&amp;($R$16+1))</f>
        <v>6595684.8695</v>
      </c>
      <c r="U22">
        <f ca="1">INDIRECT(CONCATENATE("'",$Q$1,"'!I")&amp;($R$16+1))</f>
        <v>0</v>
      </c>
      <c r="Y22" s="6"/>
      <c r="Z22">
        <f ca="1">INDIRECT(CONCATENATE("'",$Y$1,"'!C")&amp;($Z$16+1))</f>
        <v>2245454.7031</v>
      </c>
      <c r="AA22">
        <f ca="1">INDIRECT(CONCATENATE("'",$Y$1,"'!E")&amp;($Z$16+1))</f>
        <v>395209.74449999997</v>
      </c>
      <c r="AB22">
        <f ca="1">INDIRECT(CONCATENATE("'",$Y$1,"'!G")&amp;($Z$16+1))</f>
        <v>2640664.4476000001</v>
      </c>
      <c r="AC22">
        <f ca="1">INDIRECT(CONCATENATE("'",$Y$1,"'!I")&amp;($Z$16+1))</f>
        <v>0</v>
      </c>
      <c r="AG22" s="6"/>
      <c r="AH22">
        <f ca="1">INDIRECT(CONCATENATE("'",$AG$1,"'!C")&amp;($AH$16+1))</f>
        <v>1556057.8557</v>
      </c>
      <c r="AI22">
        <f ca="1">INDIRECT(CONCATENATE("'",$AG$1,"'!E")&amp;($AH$16+1))</f>
        <v>128059.0089</v>
      </c>
      <c r="AJ22">
        <f ca="1">INDIRECT(CONCATENATE("'",$AG$1,"'!G")&amp;($AH$16+1))</f>
        <v>1684116.8644999999</v>
      </c>
      <c r="AK22">
        <f ca="1">INDIRECT(CONCATENATE("'",$AG$1,"'!I")&amp;($AH$16+1))</f>
        <v>0</v>
      </c>
      <c r="AO22" s="6"/>
      <c r="AP22">
        <f ca="1">INDIRECT(CONCATENATE("'",$AO$1,"'!C")&amp;($AP$16+1))</f>
        <v>5.8500000000000003E-2</v>
      </c>
      <c r="AQ22">
        <f ca="1">INDIRECT(CONCATENATE("'",$AO$1,"'!E")&amp;($AP$16+1))</f>
        <v>4.8399999999999999E-2</v>
      </c>
      <c r="AR22">
        <f ca="1">INDIRECT(CONCATENATE("'",$AO$1,"'!G")&amp;($AP$16+1))</f>
        <v>4.8300000000000003E-2</v>
      </c>
      <c r="AS22">
        <f ca="1">INDIRECT(CONCATENATE("'",$AO$1,"'!I")&amp;($AP$16+1))</f>
        <v>2.3900000000000001E-2</v>
      </c>
    </row>
    <row r="23" spans="1:45" x14ac:dyDescent="0.35">
      <c r="A23" s="7"/>
      <c r="B23" s="8">
        <f ca="1">B21/B22</f>
        <v>4.0977806637974327E-7</v>
      </c>
      <c r="C23" s="8">
        <f t="shared" ref="C23:E23" ca="1" si="6">C21/C22</f>
        <v>4.0992411868489328E-7</v>
      </c>
      <c r="D23" s="8">
        <f t="shared" ca="1" si="6"/>
        <v>4.2310179248754506E-8</v>
      </c>
      <c r="E23" s="8">
        <f t="shared" ca="1" si="6"/>
        <v>3.5062665402424814E-8</v>
      </c>
      <c r="I23" s="7"/>
      <c r="J23" s="8">
        <f ca="1">J21/J22</f>
        <v>4.7102177554438862</v>
      </c>
      <c r="K23" s="8">
        <f t="shared" ref="K23:M23" ca="1" si="7">K21/K22</f>
        <v>2.3783982365907419</v>
      </c>
      <c r="L23" s="8">
        <f t="shared" ca="1" si="7"/>
        <v>1.7317073170731707</v>
      </c>
      <c r="M23" s="8">
        <f t="shared" ca="1" si="7"/>
        <v>0.96</v>
      </c>
      <c r="Q23" s="7"/>
      <c r="R23" s="8">
        <f ca="1">R21/R22</f>
        <v>1.2039421482733704E-7</v>
      </c>
      <c r="S23" s="8">
        <f t="shared" ref="S23:U23" ca="1" si="8">S21/S22</f>
        <v>1.2040337256608186E-7</v>
      </c>
      <c r="T23" s="8">
        <f t="shared" ca="1" si="8"/>
        <v>3.1232541286590648E-8</v>
      </c>
      <c r="U23" s="8" t="e">
        <f t="shared" ca="1" si="8"/>
        <v>#DIV/0!</v>
      </c>
      <c r="Y23" s="7"/>
      <c r="Z23" s="8">
        <f ca="1">Z21/Z22</f>
        <v>3.3365179843783063E-7</v>
      </c>
      <c r="AA23" s="8">
        <f t="shared" ref="AA23:AC23" ca="1" si="9">AA21/AA22</f>
        <v>3.3374683148785569E-7</v>
      </c>
      <c r="AB23" s="8">
        <f t="shared" ca="1" si="9"/>
        <v>4.5026546295218886E-8</v>
      </c>
      <c r="AC23" s="8" t="e">
        <f t="shared" ca="1" si="9"/>
        <v>#DIV/0!</v>
      </c>
      <c r="AG23" s="7"/>
      <c r="AH23" s="8">
        <f ca="1">AH21/AH22</f>
        <v>5.0325892262387553E-7</v>
      </c>
      <c r="AI23" s="8">
        <f t="shared" ref="AI23:AK23" ca="1" si="10">AI21/AI22</f>
        <v>5.028931627160203E-7</v>
      </c>
      <c r="AJ23" s="8">
        <f t="shared" ca="1" si="10"/>
        <v>9.0551910745977807E-8</v>
      </c>
      <c r="AK23" s="8" t="e">
        <f t="shared" ca="1" si="10"/>
        <v>#DIV/0!</v>
      </c>
      <c r="AO23" s="7"/>
      <c r="AP23" s="8">
        <f ca="1">AP21/AP22</f>
        <v>10.162393162393162</v>
      </c>
      <c r="AQ23" s="8">
        <f t="shared" ref="AQ23:AS23" ca="1" si="11">AQ21/AQ22</f>
        <v>3.0805785123966944</v>
      </c>
      <c r="AR23" s="8">
        <f t="shared" ca="1" si="11"/>
        <v>4.4637681159420293</v>
      </c>
      <c r="AS23" s="8">
        <f t="shared" ca="1" si="11"/>
        <v>1.7071129707112971</v>
      </c>
    </row>
    <row r="24" spans="1:45" x14ac:dyDescent="0.35">
      <c r="A24" s="6" t="str">
        <f ca="1">INDIRECT(CONCATENATE("'",$A$1,"'!A")&amp;($B$16+2))</f>
        <v>Mendoza</v>
      </c>
      <c r="B24">
        <f ca="1">INDIRECT(CONCATENATE("'",$A$1,"'!B")&amp;($B$16+2))</f>
        <v>0.67669999999999997</v>
      </c>
      <c r="C24">
        <f ca="1">INDIRECT(CONCATENATE("'",$A$1,"'!D")&amp;($B$16+2))</f>
        <v>0.1489</v>
      </c>
      <c r="D24">
        <f ca="1">INDIRECT(CONCATENATE("'",$A$1,"'!F")&amp;($B$16+2))</f>
        <v>0.1744</v>
      </c>
      <c r="E24">
        <f ca="1">INDIRECT(CONCATENATE("'",$A$1,"'!H")&amp;($B$16+2))</f>
        <v>0</v>
      </c>
      <c r="I24" s="6" t="str">
        <f ca="1">INDIRECT(CONCATENATE("'",$I$1,"'!A")&amp;($J$16+2))</f>
        <v>Santa Cruz</v>
      </c>
      <c r="J24">
        <f ca="1">INDIRECT(CONCATENATE("'",$I$1,"'!B")&amp;($J$16+2))</f>
        <v>0.46970000000000001</v>
      </c>
      <c r="K24">
        <f ca="1">INDIRECT(CONCATENATE("'",$I$1,"'!D")&amp;($J$16+2))</f>
        <v>0.15440000000000001</v>
      </c>
      <c r="L24">
        <f ca="1">INDIRECT(CONCATENATE("'",$I$1,"'!F")&amp;($J$16+2))</f>
        <v>0.35149999999999998</v>
      </c>
      <c r="M24">
        <f ca="1">INDIRECT(CONCATENATE("'",$I$1,"'!H")&amp;($J$16+2))</f>
        <v>2.4400000000000002E-2</v>
      </c>
      <c r="Q24" s="6" t="str">
        <f ca="1">INDIRECT(CONCATENATE("'",$Q$1,"'!A")&amp;($R$16+2))</f>
        <v>Pichincha</v>
      </c>
      <c r="R24">
        <f ca="1">INDIRECT(CONCATENATE("'",$Q$1,"'!B")&amp;($R$16+2))</f>
        <v>0.66349999999999998</v>
      </c>
      <c r="S24">
        <f ca="1">INDIRECT(CONCATENATE("'",$Q$1,"'!D")&amp;($R$16+2))</f>
        <v>9.2899999999999996E-2</v>
      </c>
      <c r="T24">
        <f ca="1">INDIRECT(CONCATENATE("'",$Q$1,"'!F")&amp;($R$16+2))</f>
        <v>0.23499999999999999</v>
      </c>
      <c r="U24">
        <f ca="1">INDIRECT(CONCATENATE("'",$Q$1,"'!H")&amp;($R$16+2))</f>
        <v>8.5000000000000006E-3</v>
      </c>
      <c r="Y24" s="6"/>
      <c r="AG24" s="6" t="str">
        <f ca="1">INDIRECT(CONCATENATE("'",$AG$1,"'!A")&amp;($AH$16+2))</f>
        <v>Lima</v>
      </c>
      <c r="AH24">
        <f ca="1">INDIRECT(CONCATENATE("'",$AG$1,"'!B")&amp;($AH$16+2))</f>
        <v>0.71519999999999995</v>
      </c>
      <c r="AI24">
        <f ca="1">INDIRECT(CONCATENATE("'",$AG$1,"'!D")&amp;($AH$16+2))</f>
        <v>0.13439999999999999</v>
      </c>
      <c r="AJ24">
        <f ca="1">INDIRECT(CONCATENATE("'",$AG$1,"'!F")&amp;($AH$16+2))</f>
        <v>0.15</v>
      </c>
      <c r="AK24">
        <f ca="1">INDIRECT(CONCATENATE("'",$AG$1,"'!H")&amp;($AH$16+2))</f>
        <v>4.0000000000000002E-4</v>
      </c>
      <c r="AO24" s="6"/>
    </row>
    <row r="25" spans="1:45" x14ac:dyDescent="0.35">
      <c r="A25" s="6"/>
      <c r="B25">
        <f ca="1">INDIRECT(CONCATENATE("'",$A$1,"'!C")&amp;($B$16+2))</f>
        <v>2227228.9188999999</v>
      </c>
      <c r="C25">
        <f ca="1">INDIRECT(CONCATENATE("'",$A$1,"'!E")&amp;($B$16+2))</f>
        <v>490077.39069999999</v>
      </c>
      <c r="D25">
        <f ca="1">INDIRECT(CONCATENATE("'",$A$1,"'!G")&amp;($B$16+2))</f>
        <v>2717306.3095999998</v>
      </c>
      <c r="E25">
        <f ca="1">INDIRECT(CONCATENATE("'",$A$1,"'!I")&amp;($B$16+2))</f>
        <v>0</v>
      </c>
      <c r="I25" s="6"/>
      <c r="J25">
        <f ca="1">INDIRECT(CONCATENATE("'",$I$1,"'!C")&amp;($J$16+2))</f>
        <v>9.1700000000000004E-2</v>
      </c>
      <c r="K25">
        <f ca="1">INDIRECT(CONCATENATE("'",$I$1,"'!E")&amp;($J$16+2))</f>
        <v>9.4299999999999995E-2</v>
      </c>
      <c r="L25">
        <f ca="1">INDIRECT(CONCATENATE("'",$I$1,"'!G")&amp;($J$16+2))</f>
        <v>9.8699999999999996E-2</v>
      </c>
      <c r="M25">
        <f ca="1">INDIRECT(CONCATENATE("'",$I$1,"'!I")&amp;($J$16+2))</f>
        <v>1.9900000000000001E-2</v>
      </c>
      <c r="Q25" s="6"/>
      <c r="R25">
        <f ca="1">INDIRECT(CONCATENATE("'",$Q$1,"'!C")&amp;($R$16+2))</f>
        <v>6059714.3092</v>
      </c>
      <c r="S25">
        <f ca="1">INDIRECT(CONCATENATE("'",$Q$1,"'!E")&amp;($R$16+2))</f>
        <v>848567.30980000005</v>
      </c>
      <c r="T25">
        <f ca="1">INDIRECT(CONCATENATE("'",$Q$1,"'!G")&amp;($R$16+2))</f>
        <v>7331053.8202</v>
      </c>
      <c r="U25">
        <f ca="1">INDIRECT(CONCATENATE("'",$Q$1,"'!I")&amp;($R$16+2))</f>
        <v>422772.20120000001</v>
      </c>
      <c r="Y25" s="6"/>
      <c r="AG25" s="6"/>
      <c r="AH25">
        <f ca="1">INDIRECT(CONCATENATE("'",$AG$1,"'!C")&amp;($AH$16+2))</f>
        <v>3.7100000000000001E-2</v>
      </c>
      <c r="AI25">
        <f ca="1">INDIRECT(CONCATENATE("'",$AG$1,"'!E")&amp;($AH$16+2))</f>
        <v>3.0099999999999998E-2</v>
      </c>
      <c r="AJ25">
        <f ca="1">INDIRECT(CONCATENATE("'",$AG$1,"'!G")&amp;($AH$16+2))</f>
        <v>2.98E-2</v>
      </c>
      <c r="AK25">
        <f ca="1">INDIRECT(CONCATENATE("'",$AG$1,"'!I")&amp;($AH$16+2))</f>
        <v>6.9999999999999999E-4</v>
      </c>
      <c r="AO25" s="6"/>
    </row>
    <row r="26" spans="1:45" x14ac:dyDescent="0.35">
      <c r="A26" s="7"/>
      <c r="B26" s="8">
        <f ca="1">B24/B25</f>
        <v>3.038304658571933E-7</v>
      </c>
      <c r="C26" s="8">
        <f t="shared" ref="C26:E26" ca="1" si="12">C24/C25</f>
        <v>3.038295641170455E-7</v>
      </c>
      <c r="D26" s="8">
        <f t="shared" ca="1" si="12"/>
        <v>6.4181207464120051E-8</v>
      </c>
      <c r="E26" s="8" t="e">
        <f t="shared" ca="1" si="12"/>
        <v>#DIV/0!</v>
      </c>
      <c r="I26" s="7"/>
      <c r="J26" s="8">
        <f ca="1">J24/J25</f>
        <v>5.1221374045801529</v>
      </c>
      <c r="K26" s="8">
        <f t="shared" ref="K26:M26" ca="1" si="13">K24/K25</f>
        <v>1.6373276776246026</v>
      </c>
      <c r="L26" s="8">
        <f t="shared" ca="1" si="13"/>
        <v>3.5612968591691994</v>
      </c>
      <c r="M26" s="8">
        <f t="shared" ca="1" si="13"/>
        <v>1.2261306532663316</v>
      </c>
      <c r="Q26" s="7"/>
      <c r="R26" s="8">
        <f ca="1">R24/R25</f>
        <v>1.0949361077842544E-7</v>
      </c>
      <c r="S26" s="8">
        <f t="shared" ref="S26:U26" ca="1" si="14">S24/S25</f>
        <v>1.0947864586239567E-7</v>
      </c>
      <c r="T26" s="8">
        <f t="shared" ca="1" si="14"/>
        <v>3.2055418738364807E-8</v>
      </c>
      <c r="U26" s="8">
        <f t="shared" ca="1" si="14"/>
        <v>2.0105390032441897E-8</v>
      </c>
      <c r="Y26" s="7"/>
      <c r="Z26" s="8"/>
      <c r="AA26" s="8"/>
      <c r="AB26" s="8"/>
      <c r="AC26" s="8"/>
      <c r="AG26" s="7"/>
      <c r="AH26" s="8">
        <f ca="1">AH24/AH25</f>
        <v>19.27762803234501</v>
      </c>
      <c r="AI26" s="8">
        <f t="shared" ref="AI26:AK26" ca="1" si="15">AI24/AI25</f>
        <v>4.4651162790697674</v>
      </c>
      <c r="AJ26" s="8">
        <f t="shared" ca="1" si="15"/>
        <v>5.0335570469798654</v>
      </c>
      <c r="AK26" s="8">
        <f t="shared" ca="1" si="15"/>
        <v>0.57142857142857151</v>
      </c>
      <c r="AO26" s="7"/>
      <c r="AP26" s="8"/>
      <c r="AQ26" s="8"/>
      <c r="AR26" s="8"/>
      <c r="AS26" s="8"/>
    </row>
    <row r="27" spans="1:45" x14ac:dyDescent="0.35">
      <c r="A27" s="6" t="str">
        <f ca="1">INDIRECT(CONCATENATE("'",$A$1,"'!A")&amp;($B$16+3))</f>
        <v>Rosario</v>
      </c>
      <c r="B27">
        <f ca="1">INDIRECT(CONCATENATE("'",$A$1,"'!B")&amp;($B$16+3))</f>
        <v>0.84130000000000005</v>
      </c>
      <c r="C27">
        <f ca="1">INDIRECT(CONCATENATE("'",$A$1,"'!D")&amp;($B$16+3))</f>
        <v>9.3100000000000002E-2</v>
      </c>
      <c r="D27">
        <f ca="1">INDIRECT(CONCATENATE("'",$A$1,"'!F")&amp;($B$16+3))</f>
        <v>6.5600000000000006E-2</v>
      </c>
      <c r="E27">
        <f ca="1">INDIRECT(CONCATENATE("'",$A$1,"'!H")&amp;($B$16+3))</f>
        <v>0</v>
      </c>
      <c r="I27" s="6"/>
      <c r="Q27" s="6"/>
      <c r="Y27" s="6"/>
      <c r="AG27" s="6" t="str">
        <f ca="1">INDIRECT(CONCATENATE("'",$AG$1,"'!A")&amp;($AH$16+3))</f>
        <v>Piura</v>
      </c>
      <c r="AH27">
        <f ca="1">INDIRECT(CONCATENATE("'",$AG$1,"'!B")&amp;($AH$16+3))</f>
        <v>0.48630000000000001</v>
      </c>
      <c r="AI27">
        <f ca="1">INDIRECT(CONCATENATE("'",$AG$1,"'!D")&amp;($AH$16+3))</f>
        <v>0.28620000000000001</v>
      </c>
      <c r="AJ27">
        <f ca="1">INDIRECT(CONCATENATE("'",$AG$1,"'!F")&amp;($AH$16+3))</f>
        <v>0.18310000000000001</v>
      </c>
      <c r="AK27">
        <f ca="1">INDIRECT(CONCATENATE("'",$AG$1,"'!H")&amp;($AH$16+3))</f>
        <v>4.4400000000000002E-2</v>
      </c>
      <c r="AO27" s="6"/>
    </row>
    <row r="28" spans="1:45" x14ac:dyDescent="0.35">
      <c r="A28" s="6"/>
      <c r="B28">
        <f ca="1">INDIRECT(CONCATENATE("'",$A$1,"'!C")&amp;($B$16+3))</f>
        <v>533089.19449999998</v>
      </c>
      <c r="C28">
        <f ca="1">INDIRECT(CONCATENATE("'",$A$1,"'!E")&amp;($B$16+3))</f>
        <v>59013.661</v>
      </c>
      <c r="D28">
        <f ca="1">INDIRECT(CONCATENATE("'",$A$1,"'!G")&amp;($B$16+3))</f>
        <v>592102.85549999995</v>
      </c>
      <c r="E28">
        <f ca="1">INDIRECT(CONCATENATE("'",$A$1,"'!I")&amp;($B$16+3))</f>
        <v>0</v>
      </c>
      <c r="I28" s="6"/>
      <c r="Q28" s="6"/>
      <c r="Y28" s="6"/>
      <c r="AG28" s="6"/>
      <c r="AH28">
        <f ca="1">INDIRECT(CONCATENATE("'",$AG$1,"'!C")&amp;($AH$16+3))</f>
        <v>717401.11679999996</v>
      </c>
      <c r="AI28">
        <f ca="1">INDIRECT(CONCATENATE("'",$AG$1,"'!E")&amp;($AH$16+3))</f>
        <v>422314.23639999999</v>
      </c>
      <c r="AJ28">
        <f ca="1">INDIRECT(CONCATENATE("'",$AG$1,"'!G")&amp;($AH$16+3))</f>
        <v>1677828.8603000001</v>
      </c>
      <c r="AK28">
        <f ca="1">INDIRECT(CONCATENATE("'",$AG$1,"'!I")&amp;($AH$16+3))</f>
        <v>538113.50710000005</v>
      </c>
      <c r="AO28" s="6"/>
    </row>
    <row r="29" spans="1:45" x14ac:dyDescent="0.35">
      <c r="A29" s="7"/>
      <c r="B29" s="8">
        <f ca="1">B27/B28</f>
        <v>1.5781599189776864E-6</v>
      </c>
      <c r="C29" s="8">
        <f t="shared" ref="C29:E29" ca="1" si="16">C27/C28</f>
        <v>1.5776008202575333E-6</v>
      </c>
      <c r="D29" s="8">
        <f t="shared" ca="1" si="16"/>
        <v>1.1079156161914508E-7</v>
      </c>
      <c r="E29" s="8" t="e">
        <f t="shared" ca="1" si="16"/>
        <v>#DIV/0!</v>
      </c>
      <c r="I29" s="7"/>
      <c r="J29" s="8"/>
      <c r="K29" s="8"/>
      <c r="L29" s="8"/>
      <c r="M29" s="8"/>
      <c r="Q29" s="7"/>
      <c r="R29" s="8"/>
      <c r="S29" s="8"/>
      <c r="T29" s="8"/>
      <c r="U29" s="8"/>
      <c r="Y29" s="7"/>
      <c r="Z29" s="8"/>
      <c r="AA29" s="8"/>
      <c r="AB29" s="8"/>
      <c r="AC29" s="8"/>
      <c r="AG29" s="7"/>
      <c r="AH29" s="8">
        <f ca="1">AH27/AH28</f>
        <v>6.7786345548103287E-7</v>
      </c>
      <c r="AI29" s="8">
        <f t="shared" ref="AI29:AK29" ca="1" si="17">AI27/AI28</f>
        <v>6.7769441646035876E-7</v>
      </c>
      <c r="AJ29" s="8">
        <f t="shared" ca="1" si="17"/>
        <v>1.0912912772716358E-7</v>
      </c>
      <c r="AK29" s="8">
        <f t="shared" ca="1" si="17"/>
        <v>8.2510473002769187E-8</v>
      </c>
      <c r="AO29" s="7"/>
      <c r="AP29" s="8"/>
      <c r="AQ29" s="8"/>
      <c r="AR29" s="8"/>
      <c r="AS29" s="8"/>
    </row>
    <row r="30" spans="1:45" x14ac:dyDescent="0.35">
      <c r="A30" s="6" t="str">
        <f ca="1">INDIRECT(CONCATENATE("'",$A$1,"'!A")&amp;($B$16+4))</f>
        <v>Tucuman</v>
      </c>
      <c r="B30">
        <f ca="1">INDIRECT(CONCATENATE("'",$A$1,"'!B")&amp;($B$16+4))</f>
        <v>0.76400000000000001</v>
      </c>
      <c r="C30">
        <f ca="1">INDIRECT(CONCATENATE("'",$A$1,"'!D")&amp;($B$16+4))</f>
        <v>0.1434</v>
      </c>
      <c r="D30">
        <f ca="1">INDIRECT(CONCATENATE("'",$A$1,"'!F")&amp;($B$16+4))</f>
        <v>9.2499999999999999E-2</v>
      </c>
      <c r="E30">
        <f ca="1">INDIRECT(CONCATENATE("'",$A$1,"'!H")&amp;($B$16+4))</f>
        <v>0</v>
      </c>
      <c r="I30" s="6"/>
      <c r="Q30" s="6"/>
      <c r="Y30" s="6"/>
      <c r="AG30" s="6" t="str">
        <f ca="1">INDIRECT(CONCATENATE("'",$AG$1,"'!A")&amp;($AH$16+4))</f>
        <v>Trujillo</v>
      </c>
      <c r="AH30">
        <f ca="1">INDIRECT(CONCATENATE("'",$AG$1,"'!B")&amp;($AH$16+4))</f>
        <v>0.73599999999999999</v>
      </c>
      <c r="AI30">
        <f ca="1">INDIRECT(CONCATENATE("'",$AG$1,"'!D")&amp;($AH$16+4))</f>
        <v>5.2200000000000003E-2</v>
      </c>
      <c r="AJ30">
        <f ca="1">INDIRECT(CONCATENATE("'",$AG$1,"'!F")&amp;($AH$16+4))</f>
        <v>0.2011</v>
      </c>
      <c r="AK30">
        <f ca="1">INDIRECT(CONCATENATE("'",$AG$1,"'!H")&amp;($AH$16+4))</f>
        <v>1.0699999999999999E-2</v>
      </c>
      <c r="AO30" s="6"/>
    </row>
    <row r="31" spans="1:45" x14ac:dyDescent="0.35">
      <c r="A31" s="6"/>
      <c r="B31">
        <f ca="1">INDIRECT(CONCATENATE("'",$A$1,"'!C")&amp;($B$16+4))</f>
        <v>2481974.7037999998</v>
      </c>
      <c r="C31">
        <f ca="1">INDIRECT(CONCATENATE("'",$A$1,"'!E")&amp;($B$16+4))</f>
        <v>465879.16279999999</v>
      </c>
      <c r="D31">
        <f ca="1">INDIRECT(CONCATENATE("'",$A$1,"'!G")&amp;($B$16+4))</f>
        <v>2947853.8667000001</v>
      </c>
      <c r="E31">
        <f ca="1">INDIRECT(CONCATENATE("'",$A$1,"'!I")&amp;($B$16+4))</f>
        <v>0</v>
      </c>
      <c r="I31" s="6"/>
      <c r="Q31" s="6"/>
      <c r="Y31" s="6"/>
      <c r="AG31" s="6"/>
      <c r="AH31">
        <f ca="1">INDIRECT(CONCATENATE("'",$AG$1,"'!C")&amp;($AH$16+4))</f>
        <v>3045767.5038999999</v>
      </c>
      <c r="AI31">
        <f ca="1">INDIRECT(CONCATENATE("'",$AG$1,"'!E")&amp;($AH$16+4))</f>
        <v>215884.584</v>
      </c>
      <c r="AJ31">
        <f ca="1">INDIRECT(CONCATENATE("'",$AG$1,"'!G")&amp;($AH$16+4))</f>
        <v>3539165.4799000002</v>
      </c>
      <c r="AK31">
        <f ca="1">INDIRECT(CONCATENATE("'",$AG$1,"'!I")&amp;($AH$16+4))</f>
        <v>277513.39199999999</v>
      </c>
      <c r="AO31" s="6"/>
    </row>
    <row r="32" spans="1:45" x14ac:dyDescent="0.35">
      <c r="A32" s="7"/>
      <c r="B32" s="8">
        <f ca="1">B30/B31</f>
        <v>3.0781941444861878E-7</v>
      </c>
      <c r="C32" s="8">
        <f t="shared" ref="C32:E32" ca="1" si="18">C30/C31</f>
        <v>3.0780513800648567E-7</v>
      </c>
      <c r="D32" s="8">
        <f t="shared" ca="1" si="18"/>
        <v>3.1378760339823056E-8</v>
      </c>
      <c r="E32" s="8" t="e">
        <f t="shared" ca="1" si="18"/>
        <v>#DIV/0!</v>
      </c>
      <c r="I32" s="7"/>
      <c r="J32" s="8"/>
      <c r="K32" s="8"/>
      <c r="L32" s="8"/>
      <c r="M32" s="8"/>
      <c r="Q32" s="7"/>
      <c r="R32" s="8"/>
      <c r="S32" s="8"/>
      <c r="T32" s="8"/>
      <c r="U32" s="8"/>
      <c r="Y32" s="7"/>
      <c r="Z32" s="8"/>
      <c r="AA32" s="8"/>
      <c r="AB32" s="8"/>
      <c r="AC32" s="8"/>
      <c r="AG32" s="7"/>
      <c r="AH32" s="8">
        <f ca="1">AH30/AH31</f>
        <v>2.41646809566908E-7</v>
      </c>
      <c r="AI32" s="8">
        <f t="shared" ref="AI32:AK32" ca="1" si="19">AI30/AI31</f>
        <v>2.4179586625787049E-7</v>
      </c>
      <c r="AJ32" s="8">
        <f t="shared" ca="1" si="19"/>
        <v>5.6821304666907554E-8</v>
      </c>
      <c r="AK32" s="8">
        <f t="shared" ca="1" si="19"/>
        <v>3.8556697833162589E-8</v>
      </c>
      <c r="AO32" s="7"/>
      <c r="AP32" s="8"/>
      <c r="AQ32" s="8"/>
      <c r="AR32" s="8"/>
      <c r="AS32" s="8"/>
    </row>
    <row r="36" spans="1:10" x14ac:dyDescent="0.35">
      <c r="A36" s="6" t="s">
        <v>120</v>
      </c>
      <c r="C36" s="6" t="s">
        <v>217</v>
      </c>
      <c r="D36" s="6" t="s">
        <v>214</v>
      </c>
      <c r="E36" s="6" t="s">
        <v>215</v>
      </c>
      <c r="F36" s="6" t="s">
        <v>213</v>
      </c>
    </row>
    <row r="37" spans="1:10" x14ac:dyDescent="0.35">
      <c r="A37" s="12" t="s">
        <v>96</v>
      </c>
      <c r="B37" s="6" t="str">
        <f ca="1">A18</f>
        <v>Buenos Aires</v>
      </c>
      <c r="C37" s="9">
        <f t="shared" ref="C37:F37" ca="1" si="20">B18</f>
        <v>0.65410000000000001</v>
      </c>
      <c r="D37" s="9">
        <f t="shared" ca="1" si="20"/>
        <v>0.2</v>
      </c>
      <c r="E37" s="9">
        <f t="shared" ca="1" si="20"/>
        <v>0.12720000000000001</v>
      </c>
      <c r="F37" s="9">
        <f t="shared" ca="1" si="20"/>
        <v>1.8700000000000001E-2</v>
      </c>
      <c r="G37" s="9">
        <f ca="1">MIN(C37:C41)</f>
        <v>0.62429999999999997</v>
      </c>
      <c r="H37" s="9">
        <f ca="1">MIN(D37:D41)</f>
        <v>9.3100000000000002E-2</v>
      </c>
      <c r="I37" s="9">
        <f ca="1">MIN(E37:E41)</f>
        <v>6.5600000000000006E-2</v>
      </c>
      <c r="J37" s="9">
        <f ca="1">MIN(F37:F41)</f>
        <v>0</v>
      </c>
    </row>
    <row r="38" spans="1:10" x14ac:dyDescent="0.35">
      <c r="A38" s="12"/>
      <c r="B38" s="6" t="str">
        <f ca="1">A21</f>
        <v>Cordoba</v>
      </c>
      <c r="C38" s="9">
        <f t="shared" ref="C38:F38" ca="1" si="21">B21</f>
        <v>0.62429999999999997</v>
      </c>
      <c r="D38" s="9">
        <f t="shared" ca="1" si="21"/>
        <v>0.1113</v>
      </c>
      <c r="E38" s="9">
        <f t="shared" ca="1" si="21"/>
        <v>0.17899999999999999</v>
      </c>
      <c r="F38" s="9">
        <f t="shared" ca="1" si="21"/>
        <v>8.5400000000000004E-2</v>
      </c>
      <c r="G38" s="9">
        <f ca="1">MAX(C37:C41)</f>
        <v>0.84130000000000005</v>
      </c>
      <c r="H38" s="9">
        <f ca="1">MAX(D37:D41)</f>
        <v>0.2</v>
      </c>
      <c r="I38" s="9">
        <f ca="1">MAX(E37:E41)</f>
        <v>0.17899999999999999</v>
      </c>
      <c r="J38" s="9">
        <f ca="1">MAX(F37:F41)</f>
        <v>8.5400000000000004E-2</v>
      </c>
    </row>
    <row r="39" spans="1:10" x14ac:dyDescent="0.35">
      <c r="A39" s="12"/>
      <c r="B39" s="6" t="str">
        <f ca="1">A24</f>
        <v>Mendoza</v>
      </c>
      <c r="C39" s="9">
        <f t="shared" ref="C39:F39" ca="1" si="22">B24</f>
        <v>0.67669999999999997</v>
      </c>
      <c r="D39" s="9">
        <f t="shared" ca="1" si="22"/>
        <v>0.1489</v>
      </c>
      <c r="E39" s="9">
        <f t="shared" ca="1" si="22"/>
        <v>0.1744</v>
      </c>
      <c r="F39" s="9">
        <f t="shared" ca="1" si="22"/>
        <v>0</v>
      </c>
      <c r="G39" s="8">
        <f ca="1">G38-G37</f>
        <v>0.21700000000000008</v>
      </c>
      <c r="H39" s="8">
        <f ca="1">H38-H37</f>
        <v>0.10690000000000001</v>
      </c>
      <c r="I39" s="8">
        <f ca="1">I38-I37</f>
        <v>0.11339999999999999</v>
      </c>
      <c r="J39" s="8">
        <f ca="1">J38-J37</f>
        <v>8.5400000000000004E-2</v>
      </c>
    </row>
    <row r="40" spans="1:10" x14ac:dyDescent="0.35">
      <c r="A40" s="12"/>
      <c r="B40" s="6" t="str">
        <f ca="1">A27</f>
        <v>Rosario</v>
      </c>
      <c r="C40" s="9">
        <f t="shared" ref="C40:F40" ca="1" si="23">B27</f>
        <v>0.84130000000000005</v>
      </c>
      <c r="D40" s="9">
        <f t="shared" ca="1" si="23"/>
        <v>9.3100000000000002E-2</v>
      </c>
      <c r="E40" s="9">
        <f t="shared" ca="1" si="23"/>
        <v>6.5600000000000006E-2</v>
      </c>
      <c r="F40" s="9">
        <f t="shared" ca="1" si="23"/>
        <v>0</v>
      </c>
    </row>
    <row r="41" spans="1:10" x14ac:dyDescent="0.35">
      <c r="A41" s="12"/>
      <c r="B41" s="6" t="str">
        <f ca="1">A30</f>
        <v>Tucuman</v>
      </c>
      <c r="C41" s="9">
        <f t="shared" ref="C41:F41" ca="1" si="24">B30</f>
        <v>0.76400000000000001</v>
      </c>
      <c r="D41" s="9">
        <f t="shared" ca="1" si="24"/>
        <v>0.1434</v>
      </c>
      <c r="E41" s="9">
        <f t="shared" ca="1" si="24"/>
        <v>9.2499999999999999E-2</v>
      </c>
      <c r="F41" s="9">
        <f t="shared" ca="1" si="24"/>
        <v>0</v>
      </c>
    </row>
    <row r="42" spans="1:10" x14ac:dyDescent="0.35">
      <c r="A42" s="12" t="s">
        <v>98</v>
      </c>
      <c r="B42" s="6" t="str">
        <f ca="1">Q18</f>
        <v>Azuay</v>
      </c>
      <c r="C42" s="9">
        <f t="shared" ref="C42:F42" ca="1" si="25">R18</f>
        <v>0.80069999999999997</v>
      </c>
      <c r="D42" s="9">
        <f t="shared" ca="1" si="25"/>
        <v>0.1067</v>
      </c>
      <c r="E42" s="9">
        <f t="shared" ca="1" si="25"/>
        <v>7.8200000000000006E-2</v>
      </c>
      <c r="F42" s="9">
        <f t="shared" ca="1" si="25"/>
        <v>1.4500000000000001E-2</v>
      </c>
      <c r="G42" s="9">
        <f ca="1">MIN(C42:C44)</f>
        <v>0.56140000000000001</v>
      </c>
      <c r="H42" s="9">
        <f ca="1">MIN(D42:D44)</f>
        <v>9.2899999999999996E-2</v>
      </c>
      <c r="I42" s="9">
        <f ca="1">MIN(E42:E44)</f>
        <v>7.8200000000000006E-2</v>
      </c>
      <c r="J42" s="9">
        <f ca="1">MIN(F42:F44)</f>
        <v>0</v>
      </c>
    </row>
    <row r="43" spans="1:10" x14ac:dyDescent="0.35">
      <c r="A43" s="12"/>
      <c r="B43" s="6" t="str">
        <f ca="1">Q21</f>
        <v>Guayas</v>
      </c>
      <c r="C43" s="9">
        <f t="shared" ref="C43:F43" ca="1" si="26">R21</f>
        <v>0.56140000000000001</v>
      </c>
      <c r="D43" s="9">
        <f t="shared" ca="1" si="26"/>
        <v>0.23269999999999999</v>
      </c>
      <c r="E43" s="9">
        <f t="shared" ca="1" si="26"/>
        <v>0.20599999999999999</v>
      </c>
      <c r="F43" s="9">
        <f t="shared" ca="1" si="26"/>
        <v>0</v>
      </c>
      <c r="G43" s="9">
        <f ca="1">MAX(C42:C44)</f>
        <v>0.80069999999999997</v>
      </c>
      <c r="H43" s="9">
        <f ca="1">MAX(D42:D44)</f>
        <v>0.23269999999999999</v>
      </c>
      <c r="I43" s="9">
        <f ca="1">MAX(E42:E44)</f>
        <v>0.23499999999999999</v>
      </c>
      <c r="J43" s="9">
        <f ca="1">MAX(F42:F44)</f>
        <v>1.4500000000000001E-2</v>
      </c>
    </row>
    <row r="44" spans="1:10" x14ac:dyDescent="0.35">
      <c r="A44" s="12"/>
      <c r="B44" s="6" t="str">
        <f ca="1">Q24</f>
        <v>Pichincha</v>
      </c>
      <c r="C44" s="9">
        <f t="shared" ref="C44:F44" ca="1" si="27">R24</f>
        <v>0.66349999999999998</v>
      </c>
      <c r="D44" s="9">
        <f t="shared" ca="1" si="27"/>
        <v>9.2899999999999996E-2</v>
      </c>
      <c r="E44" s="9">
        <f t="shared" ca="1" si="27"/>
        <v>0.23499999999999999</v>
      </c>
      <c r="F44" s="9">
        <f t="shared" ca="1" si="27"/>
        <v>8.5000000000000006E-3</v>
      </c>
      <c r="G44" s="8">
        <f ca="1">G43-G42</f>
        <v>0.23929999999999996</v>
      </c>
      <c r="H44" s="8">
        <f ca="1">H43-H42</f>
        <v>0.13979999999999998</v>
      </c>
      <c r="I44" s="8">
        <f ca="1">I43-I42</f>
        <v>0.15679999999999999</v>
      </c>
      <c r="J44" s="8">
        <f ca="1">J43-J42</f>
        <v>1.4500000000000001E-2</v>
      </c>
    </row>
    <row r="45" spans="1:10" x14ac:dyDescent="0.35">
      <c r="A45" s="12" t="s">
        <v>100</v>
      </c>
      <c r="B45" s="6" t="str">
        <f ca="1">AG18</f>
        <v>Arequipa</v>
      </c>
      <c r="C45" s="9">
        <f ca="1">AH18</f>
        <v>0.74009999999999998</v>
      </c>
      <c r="D45" s="9">
        <f ca="1">AI18</f>
        <v>0.1726</v>
      </c>
      <c r="E45" s="9">
        <f ca="1">AJ18</f>
        <v>8.7400000000000005E-2</v>
      </c>
      <c r="F45" s="9">
        <f ca="1">AK18</f>
        <v>0</v>
      </c>
      <c r="G45" s="9">
        <f ca="1">MIN(C45:C49)</f>
        <v>0.48630000000000001</v>
      </c>
      <c r="H45" s="9">
        <f ca="1">MIN(D45:D49)</f>
        <v>5.2200000000000003E-2</v>
      </c>
      <c r="I45" s="9">
        <f ca="1">MIN(E45:E49)</f>
        <v>8.7400000000000005E-2</v>
      </c>
      <c r="J45" s="9">
        <f ca="1">MIN(F45:F49)</f>
        <v>0</v>
      </c>
    </row>
    <row r="46" spans="1:10" x14ac:dyDescent="0.35">
      <c r="A46" s="12"/>
      <c r="B46" s="6" t="str">
        <f ca="1">AG21</f>
        <v>Chiclayo</v>
      </c>
      <c r="C46" s="9">
        <f ca="1">AH21</f>
        <v>0.78310000000000002</v>
      </c>
      <c r="D46" s="9">
        <f ca="1">AI21</f>
        <v>6.4399999999999999E-2</v>
      </c>
      <c r="E46" s="9">
        <f ca="1">AJ21</f>
        <v>0.1525</v>
      </c>
      <c r="F46" s="9">
        <f ca="1">AK21</f>
        <v>0</v>
      </c>
      <c r="G46" s="9">
        <f ca="1">MAX(C45:C49)</f>
        <v>0.78310000000000002</v>
      </c>
      <c r="H46" s="9">
        <f ca="1">MAX(D45:D49)</f>
        <v>0.28620000000000001</v>
      </c>
      <c r="I46" s="9">
        <f ca="1">MAX(E45:E49)</f>
        <v>0.2011</v>
      </c>
      <c r="J46" s="9">
        <f ca="1">MAX(F45:F49)</f>
        <v>4.4400000000000002E-2</v>
      </c>
    </row>
    <row r="47" spans="1:10" x14ac:dyDescent="0.35">
      <c r="A47" s="12"/>
      <c r="B47" s="6" t="str">
        <f ca="1">AG24</f>
        <v>Lima</v>
      </c>
      <c r="C47" s="9">
        <f ca="1">AH24</f>
        <v>0.71519999999999995</v>
      </c>
      <c r="D47" s="9">
        <f ca="1">AI24</f>
        <v>0.13439999999999999</v>
      </c>
      <c r="E47" s="9">
        <f ca="1">AJ24</f>
        <v>0.15</v>
      </c>
      <c r="F47" s="9">
        <f ca="1">AK24</f>
        <v>4.0000000000000002E-4</v>
      </c>
      <c r="G47" s="8">
        <f ca="1">G46-G45</f>
        <v>0.29680000000000001</v>
      </c>
      <c r="H47" s="8">
        <f ca="1">H46-H45</f>
        <v>0.23400000000000001</v>
      </c>
      <c r="I47" s="8">
        <f ca="1">I46-I45</f>
        <v>0.1137</v>
      </c>
      <c r="J47" s="8">
        <f ca="1">J46-J45</f>
        <v>4.4400000000000002E-2</v>
      </c>
    </row>
    <row r="48" spans="1:10" x14ac:dyDescent="0.35">
      <c r="A48" s="12"/>
      <c r="B48" s="6" t="str">
        <f ca="1">AG27</f>
        <v>Piura</v>
      </c>
      <c r="C48" s="9">
        <f ca="1">AH27</f>
        <v>0.48630000000000001</v>
      </c>
      <c r="D48" s="9">
        <f ca="1">AI27</f>
        <v>0.28620000000000001</v>
      </c>
      <c r="E48" s="9">
        <f ca="1">AJ27</f>
        <v>0.18310000000000001</v>
      </c>
      <c r="F48" s="9">
        <f ca="1">AK27</f>
        <v>4.4400000000000002E-2</v>
      </c>
    </row>
    <row r="49" spans="1:10" x14ac:dyDescent="0.35">
      <c r="A49" s="12"/>
      <c r="B49" s="6" t="str">
        <f ca="1">AG30</f>
        <v>Trujillo</v>
      </c>
      <c r="C49" s="9">
        <f ca="1">AH30</f>
        <v>0.73599999999999999</v>
      </c>
      <c r="D49" s="9">
        <f ca="1">AI30</f>
        <v>5.2200000000000003E-2</v>
      </c>
      <c r="E49" s="9">
        <f ca="1">AJ30</f>
        <v>0.2011</v>
      </c>
      <c r="F49" s="9">
        <f ca="1">AK30</f>
        <v>1.0699999999999999E-2</v>
      </c>
    </row>
    <row r="50" spans="1:10" x14ac:dyDescent="0.35">
      <c r="A50" s="12" t="s">
        <v>99</v>
      </c>
      <c r="B50" s="6" t="str">
        <f ca="1">Y18</f>
        <v>Asuncion</v>
      </c>
      <c r="C50" s="9">
        <f ca="1">Z18</f>
        <v>0.66510000000000002</v>
      </c>
      <c r="D50" s="9">
        <f ca="1">AA18</f>
        <v>0.14610000000000001</v>
      </c>
      <c r="E50" s="9">
        <f ca="1">AB18</f>
        <v>0.1754</v>
      </c>
      <c r="F50" s="9">
        <f ca="1">AC18</f>
        <v>1.34E-2</v>
      </c>
      <c r="G50" s="9">
        <f ca="1">MIN(C50:C51)</f>
        <v>0.66510000000000002</v>
      </c>
      <c r="H50" s="9">
        <f ca="1">MIN(D50:D51)</f>
        <v>0.13189999999999999</v>
      </c>
      <c r="I50" s="9">
        <f ca="1">MIN(E50:E51)</f>
        <v>0.11890000000000001</v>
      </c>
      <c r="J50" s="9">
        <f ca="1">MIN(F50:F51)</f>
        <v>0</v>
      </c>
    </row>
    <row r="51" spans="1:10" x14ac:dyDescent="0.35">
      <c r="A51" s="12"/>
      <c r="B51" s="6" t="str">
        <f ca="1">Y21</f>
        <v>Central</v>
      </c>
      <c r="C51" s="9">
        <f ca="1">Z21</f>
        <v>0.74919999999999998</v>
      </c>
      <c r="D51" s="9">
        <f ca="1">AA21</f>
        <v>0.13189999999999999</v>
      </c>
      <c r="E51" s="9">
        <f ca="1">AB21</f>
        <v>0.11890000000000001</v>
      </c>
      <c r="F51" s="9">
        <f ca="1">AC21</f>
        <v>0</v>
      </c>
      <c r="G51" s="9">
        <f ca="1">MAX(C50:C51)</f>
        <v>0.74919999999999998</v>
      </c>
      <c r="H51" s="9">
        <f ca="1">MAX(D50:D51)</f>
        <v>0.14610000000000001</v>
      </c>
      <c r="I51" s="9">
        <f ca="1">MAX(E50:E51)</f>
        <v>0.1754</v>
      </c>
      <c r="J51" s="9">
        <f ca="1">MAX(F50:F51)</f>
        <v>1.34E-2</v>
      </c>
    </row>
    <row r="52" spans="1:10" x14ac:dyDescent="0.35">
      <c r="A52" s="12" t="s">
        <v>101</v>
      </c>
      <c r="B52" s="6" t="str">
        <f ca="1">AO18</f>
        <v>Canelones</v>
      </c>
      <c r="C52" s="9">
        <f ca="1">AP18</f>
        <v>0.77290000000000003</v>
      </c>
      <c r="D52" s="9">
        <f ca="1">AQ18</f>
        <v>0.18129999999999999</v>
      </c>
      <c r="E52" s="9">
        <f ca="1">AR18</f>
        <v>4.5199999999999997E-2</v>
      </c>
      <c r="F52" s="9">
        <f ca="1">AS18</f>
        <v>5.9999999999999995E-4</v>
      </c>
      <c r="G52" s="8">
        <f ca="1">G51-G50</f>
        <v>8.4099999999999953E-2</v>
      </c>
      <c r="H52" s="8">
        <f ca="1">H51-H50</f>
        <v>1.4200000000000018E-2</v>
      </c>
      <c r="I52" s="8">
        <f ca="1">I51-I50</f>
        <v>5.6499999999999995E-2</v>
      </c>
      <c r="J52" s="8">
        <f ca="1">J51-J50</f>
        <v>1.34E-2</v>
      </c>
    </row>
    <row r="53" spans="1:10" x14ac:dyDescent="0.35">
      <c r="A53" s="12"/>
      <c r="B53" s="6" t="str">
        <f ca="1">AO21</f>
        <v>Montevideo</v>
      </c>
      <c r="C53" s="9">
        <f ca="1">AP21</f>
        <v>0.59450000000000003</v>
      </c>
      <c r="D53" s="9">
        <f ca="1">AQ21</f>
        <v>0.14910000000000001</v>
      </c>
      <c r="E53" s="9">
        <f ca="1">AR21</f>
        <v>0.21560000000000001</v>
      </c>
      <c r="F53" s="9">
        <f ca="1">AS21</f>
        <v>4.0800000000000003E-2</v>
      </c>
      <c r="G53" s="9">
        <f ca="1">MIN(C52:C53)</f>
        <v>0.59450000000000003</v>
      </c>
      <c r="H53" s="9">
        <f ca="1">MIN(D52:D53)</f>
        <v>0.14910000000000001</v>
      </c>
      <c r="I53" s="9">
        <f ca="1">MIN(E52:E53)</f>
        <v>4.5199999999999997E-2</v>
      </c>
      <c r="J53" s="9">
        <f ca="1">MIN(F52:F53)</f>
        <v>5.9999999999999995E-4</v>
      </c>
    </row>
    <row r="54" spans="1:10" x14ac:dyDescent="0.35">
      <c r="G54" s="9">
        <f ca="1">MAX(C52:C53)</f>
        <v>0.77290000000000003</v>
      </c>
      <c r="H54" s="9">
        <f ca="1">MAX(D52:D53)</f>
        <v>0.18129999999999999</v>
      </c>
      <c r="I54" s="9">
        <f ca="1">MAX(E52:E53)</f>
        <v>0.21560000000000001</v>
      </c>
      <c r="J54" s="9">
        <f ca="1">MAX(F52:F53)</f>
        <v>4.0800000000000003E-2</v>
      </c>
    </row>
    <row r="55" spans="1:10" x14ac:dyDescent="0.35">
      <c r="G55" s="8">
        <f ca="1">G54-G53</f>
        <v>0.1784</v>
      </c>
      <c r="H55" s="8">
        <f ca="1">H54-H53</f>
        <v>3.2199999999999979E-2</v>
      </c>
      <c r="I55" s="8">
        <f ca="1">I54-I53</f>
        <v>0.17040000000000002</v>
      </c>
      <c r="J55" s="8">
        <f ca="1">J54-J53</f>
        <v>4.02E-2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278"/>
  <sheetViews>
    <sheetView zoomScale="85" zoomScaleNormal="85" workbookViewId="0">
      <selection activeCell="B1" sqref="B1"/>
    </sheetView>
  </sheetViews>
  <sheetFormatPr defaultRowHeight="14.5" x14ac:dyDescent="0.35"/>
  <sheetData>
    <row r="1" spans="2:21" x14ac:dyDescent="0.35">
      <c r="B1" t="s">
        <v>171</v>
      </c>
      <c r="C1">
        <v>170</v>
      </c>
      <c r="E1" t="s">
        <v>172</v>
      </c>
    </row>
    <row r="3" spans="2:21" x14ac:dyDescent="0.35">
      <c r="B3" s="6" t="s">
        <v>102</v>
      </c>
      <c r="C3" s="6" t="s">
        <v>42</v>
      </c>
      <c r="D3" s="6"/>
      <c r="E3" s="6" t="s">
        <v>43</v>
      </c>
      <c r="F3" s="6"/>
      <c r="G3" s="6" t="s">
        <v>44</v>
      </c>
      <c r="H3" s="6"/>
      <c r="I3" s="6" t="s">
        <v>45</v>
      </c>
      <c r="J3" s="6"/>
      <c r="K3" s="6" t="s">
        <v>216</v>
      </c>
      <c r="L3" s="6" t="s">
        <v>9</v>
      </c>
      <c r="T3" s="6"/>
      <c r="U3" s="6"/>
    </row>
    <row r="4" spans="2:21" x14ac:dyDescent="0.35">
      <c r="B4" s="6" t="s">
        <v>171</v>
      </c>
      <c r="C4">
        <f ca="1">INDIRECT(CONCATENATE("'",$B$1,"'!B")&amp;($C$1))</f>
        <v>-0.25209999999999999</v>
      </c>
      <c r="E4">
        <f ca="1">INDIRECT(CONCATENATE("'",$B$1,"'!E")&amp;($C$1))</f>
        <v>0.80779999999999996</v>
      </c>
      <c r="G4">
        <f ca="1">INDIRECT(CONCATENATE("'",$B$1,"'!H")&amp;($C$1))</f>
        <v>0.94269999999999998</v>
      </c>
      <c r="I4">
        <f ca="1">INDIRECT(CONCATENATE("'",$B$1,"'!K")&amp;($C$1))</f>
        <v>-1.4984999999999999</v>
      </c>
      <c r="K4">
        <f ca="1">INDIRECT(CONCATENATE("'",$B$1,"'!N")&amp;($C$1))</f>
        <v>6.8201999999999998</v>
      </c>
      <c r="L4">
        <f ca="1">INDIRECT(CONCATENATE("'",$B$1,"'!O")&amp;($C$1))</f>
        <v>7.8E-2</v>
      </c>
      <c r="T4" s="6"/>
    </row>
    <row r="5" spans="2:21" x14ac:dyDescent="0.35">
      <c r="B5" s="6"/>
      <c r="C5">
        <f ca="1">INDIRECT(CONCATENATE("'",$B$1,"'!D")&amp;($C$1))</f>
        <v>-0.43180000000000002</v>
      </c>
      <c r="E5">
        <f ca="1">INDIRECT(CONCATENATE("'",$B$1,"'!G")&amp;($C$1))</f>
        <v>1.0382</v>
      </c>
      <c r="G5">
        <f ca="1">INDIRECT(CONCATENATE("'",$B$1,"'!J")&amp;($C$1))</f>
        <v>1.4853000000000001</v>
      </c>
      <c r="I5">
        <f ca="1">INDIRECT(CONCATENATE("'",$B$1,"'!M")&amp;($C$1))</f>
        <v>-0.98629999999999995</v>
      </c>
      <c r="T5" s="6"/>
    </row>
    <row r="6" spans="2:21" x14ac:dyDescent="0.35">
      <c r="B6" s="6"/>
      <c r="C6" s="6" t="s">
        <v>42</v>
      </c>
      <c r="D6" s="6" t="s">
        <v>134</v>
      </c>
      <c r="E6" s="6" t="s">
        <v>43</v>
      </c>
      <c r="F6" s="6" t="s">
        <v>134</v>
      </c>
      <c r="G6" s="6" t="s">
        <v>44</v>
      </c>
      <c r="H6" s="6" t="s">
        <v>134</v>
      </c>
      <c r="I6" s="6" t="s">
        <v>45</v>
      </c>
      <c r="J6" s="6" t="s">
        <v>134</v>
      </c>
      <c r="T6" s="6"/>
    </row>
    <row r="7" spans="2:21" x14ac:dyDescent="0.35">
      <c r="B7" s="6" t="s">
        <v>120</v>
      </c>
      <c r="C7" s="6" t="s">
        <v>217</v>
      </c>
      <c r="D7" s="6" t="s">
        <v>105</v>
      </c>
      <c r="E7" s="6" t="s">
        <v>214</v>
      </c>
      <c r="F7" s="6"/>
      <c r="G7" s="6" t="s">
        <v>215</v>
      </c>
      <c r="H7" s="6"/>
      <c r="I7" s="6" t="s">
        <v>213</v>
      </c>
      <c r="J7" s="6"/>
      <c r="M7" s="6"/>
      <c r="N7" s="6"/>
      <c r="O7" s="6"/>
      <c r="P7" s="6"/>
      <c r="T7" s="6"/>
    </row>
    <row r="8" spans="2:21" x14ac:dyDescent="0.35">
      <c r="B8" s="7">
        <f>mgmt!$A220</f>
        <v>0</v>
      </c>
      <c r="C8" s="13">
        <f>mgmt!B220</f>
        <v>0.75819999999999999</v>
      </c>
      <c r="D8" s="13">
        <f>1.96*mgmt!C220</f>
        <v>0.112112</v>
      </c>
      <c r="E8" s="13">
        <f>mgmt!D220</f>
        <v>0.1089</v>
      </c>
      <c r="F8" s="13">
        <f>1.96*mgmt!E220</f>
        <v>8.8984000000000008E-2</v>
      </c>
      <c r="G8" s="13">
        <f>mgmt!F220</f>
        <v>9.7699999999999995E-2</v>
      </c>
      <c r="H8" s="13">
        <f>1.96*mgmt!G220</f>
        <v>4.9588E-2</v>
      </c>
      <c r="I8" s="13">
        <f>mgmt!H220</f>
        <v>3.5200000000000002E-2</v>
      </c>
      <c r="J8" s="13">
        <f>1.96*mgmt!I220</f>
        <v>7.0167999999999994E-2</v>
      </c>
      <c r="T8" s="6"/>
    </row>
    <row r="9" spans="2:21" x14ac:dyDescent="0.35">
      <c r="B9" s="7">
        <f>mgmt!$A221</f>
        <v>0.04</v>
      </c>
      <c r="C9" s="13">
        <f>mgmt!B221</f>
        <v>0.75229999999999997</v>
      </c>
      <c r="D9" s="13">
        <f>1.96*mgmt!C221</f>
        <v>0.10485999999999999</v>
      </c>
      <c r="E9" s="13">
        <f>mgmt!D221</f>
        <v>0.11269999999999999</v>
      </c>
      <c r="F9" s="13">
        <f>1.96*mgmt!E221</f>
        <v>8.5456000000000004E-2</v>
      </c>
      <c r="G9" s="13">
        <f>mgmt!F221</f>
        <v>0.1017</v>
      </c>
      <c r="H9" s="13">
        <f>1.96*mgmt!G221</f>
        <v>4.802E-2</v>
      </c>
      <c r="I9" s="13">
        <f>mgmt!H221</f>
        <v>3.32E-2</v>
      </c>
      <c r="J9" s="13">
        <f>1.96*mgmt!I221</f>
        <v>6.1543999999999995E-2</v>
      </c>
    </row>
    <row r="10" spans="2:21" x14ac:dyDescent="0.35">
      <c r="B10" s="7">
        <f>mgmt!$A222</f>
        <v>6.6600000000000006E-2</v>
      </c>
      <c r="C10" s="13">
        <f>mgmt!B222</f>
        <v>0.74829999999999997</v>
      </c>
      <c r="D10" s="13">
        <f>1.96*mgmt!C222</f>
        <v>0.100156</v>
      </c>
      <c r="E10" s="13">
        <f>mgmt!D222</f>
        <v>0.1153</v>
      </c>
      <c r="F10" s="13">
        <f>1.96*mgmt!E222</f>
        <v>8.2907999999999996E-2</v>
      </c>
      <c r="G10" s="13">
        <f>mgmt!F222</f>
        <v>0.10440000000000001</v>
      </c>
      <c r="H10" s="13">
        <f>1.96*mgmt!G222</f>
        <v>4.7039999999999998E-2</v>
      </c>
      <c r="I10" s="13">
        <f>mgmt!H222</f>
        <v>3.1899999999999998E-2</v>
      </c>
      <c r="J10" s="13">
        <f>1.96*mgmt!I222</f>
        <v>5.6251999999999996E-2</v>
      </c>
      <c r="T10" s="6"/>
      <c r="U10" s="6"/>
    </row>
    <row r="11" spans="2:21" x14ac:dyDescent="0.35">
      <c r="B11" s="7">
        <f>mgmt!$A223</f>
        <v>0.08</v>
      </c>
      <c r="C11" s="13">
        <f>mgmt!B223</f>
        <v>0.74619999999999997</v>
      </c>
      <c r="D11" s="13">
        <f>1.96*mgmt!C223</f>
        <v>9.7804000000000002E-2</v>
      </c>
      <c r="E11" s="13">
        <f>mgmt!D223</f>
        <v>0.1167</v>
      </c>
      <c r="F11" s="13">
        <f>1.96*mgmt!E223</f>
        <v>8.1535999999999997E-2</v>
      </c>
      <c r="G11" s="13">
        <f>mgmt!F223</f>
        <v>0.10580000000000001</v>
      </c>
      <c r="H11" s="13">
        <f>1.96*mgmt!G223</f>
        <v>4.6452E-2</v>
      </c>
      <c r="I11" s="13">
        <f>mgmt!H223</f>
        <v>3.1300000000000001E-2</v>
      </c>
      <c r="J11" s="13">
        <f>1.96*mgmt!I223</f>
        <v>5.3704000000000002E-2</v>
      </c>
      <c r="T11" s="6"/>
    </row>
    <row r="12" spans="2:21" x14ac:dyDescent="0.35">
      <c r="B12" s="7">
        <f>mgmt!$A224</f>
        <v>0.1066</v>
      </c>
      <c r="C12" s="13">
        <f>mgmt!B224</f>
        <v>0.7419</v>
      </c>
      <c r="D12" s="13">
        <f>1.96*mgmt!C224</f>
        <v>9.3100000000000002E-2</v>
      </c>
      <c r="E12" s="13">
        <f>mgmt!D224</f>
        <v>0.1193</v>
      </c>
      <c r="F12" s="13">
        <f>1.96*mgmt!E224</f>
        <v>7.8792000000000001E-2</v>
      </c>
      <c r="G12" s="13">
        <f>mgmt!F224</f>
        <v>0.1086</v>
      </c>
      <c r="H12" s="13">
        <f>1.96*mgmt!G224</f>
        <v>4.5275999999999997E-2</v>
      </c>
      <c r="I12" s="13">
        <f>mgmt!H224</f>
        <v>3.0099999999999998E-2</v>
      </c>
      <c r="J12" s="13">
        <f>1.96*mgmt!I224</f>
        <v>4.8803999999999993E-2</v>
      </c>
      <c r="T12" s="6"/>
    </row>
    <row r="13" spans="2:21" x14ac:dyDescent="0.35">
      <c r="B13" s="7">
        <f>mgmt!$A225</f>
        <v>0.12</v>
      </c>
      <c r="C13" s="13">
        <f>mgmt!B225</f>
        <v>0.73970000000000002</v>
      </c>
      <c r="D13" s="13">
        <f>1.96*mgmt!C225</f>
        <v>9.0943999999999997E-2</v>
      </c>
      <c r="E13" s="13">
        <f>mgmt!D225</f>
        <v>0.1207</v>
      </c>
      <c r="F13" s="13">
        <f>1.96*mgmt!E225</f>
        <v>7.7420000000000003E-2</v>
      </c>
      <c r="G13" s="13">
        <f>mgmt!F225</f>
        <v>0.11</v>
      </c>
      <c r="H13" s="13">
        <f>1.96*mgmt!G225</f>
        <v>4.4687999999999999E-2</v>
      </c>
      <c r="I13" s="13">
        <f>mgmt!H225</f>
        <v>2.9600000000000001E-2</v>
      </c>
      <c r="J13" s="13">
        <f>1.96*mgmt!I225</f>
        <v>4.6452E-2</v>
      </c>
      <c r="T13" s="7"/>
      <c r="U13" s="8"/>
    </row>
    <row r="14" spans="2:21" x14ac:dyDescent="0.35">
      <c r="B14" s="7">
        <f>mgmt!$A226</f>
        <v>0.13320000000000001</v>
      </c>
      <c r="C14" s="13">
        <f>mgmt!B226</f>
        <v>0.73750000000000004</v>
      </c>
      <c r="D14" s="13">
        <f>1.96*mgmt!C226</f>
        <v>8.859199999999999E-2</v>
      </c>
      <c r="E14" s="13">
        <f>mgmt!D226</f>
        <v>0.122</v>
      </c>
      <c r="F14" s="13">
        <f>1.96*mgmt!E226</f>
        <v>7.5851999999999989E-2</v>
      </c>
      <c r="G14" s="13">
        <f>mgmt!F226</f>
        <v>0.1115</v>
      </c>
      <c r="H14" s="13">
        <f>1.96*mgmt!G226</f>
        <v>4.3903999999999999E-2</v>
      </c>
      <c r="I14" s="13">
        <f>mgmt!H226</f>
        <v>2.9000000000000001E-2</v>
      </c>
      <c r="J14" s="13">
        <f>1.96*mgmt!I226</f>
        <v>4.41E-2</v>
      </c>
      <c r="T14" s="6"/>
    </row>
    <row r="15" spans="2:21" x14ac:dyDescent="0.35">
      <c r="B15" s="7">
        <f>mgmt!$A227</f>
        <v>0.13339999999999999</v>
      </c>
      <c r="C15" s="13">
        <f>mgmt!B227</f>
        <v>0.73750000000000004</v>
      </c>
      <c r="D15" s="13">
        <f>1.96*mgmt!C227</f>
        <v>8.859199999999999E-2</v>
      </c>
      <c r="E15" s="13">
        <f>mgmt!D227</f>
        <v>0.122</v>
      </c>
      <c r="F15" s="13">
        <f>1.96*mgmt!E227</f>
        <v>7.5851999999999989E-2</v>
      </c>
      <c r="G15" s="13">
        <f>mgmt!F227</f>
        <v>0.1115</v>
      </c>
      <c r="H15" s="13">
        <f>1.96*mgmt!G227</f>
        <v>4.3903999999999999E-2</v>
      </c>
      <c r="I15" s="13">
        <f>mgmt!H227</f>
        <v>2.9000000000000001E-2</v>
      </c>
      <c r="J15" s="13">
        <f>1.96*mgmt!I227</f>
        <v>4.41E-2</v>
      </c>
      <c r="T15" s="6"/>
    </row>
    <row r="16" spans="2:21" x14ac:dyDescent="0.35">
      <c r="B16" s="7">
        <f>mgmt!$A228</f>
        <v>0.14660000000000001</v>
      </c>
      <c r="C16" s="13">
        <f>mgmt!B228</f>
        <v>0.73529999999999995</v>
      </c>
      <c r="D16" s="13">
        <f>1.96*mgmt!C228</f>
        <v>8.6435999999999999E-2</v>
      </c>
      <c r="E16" s="13">
        <f>mgmt!D228</f>
        <v>0.1234</v>
      </c>
      <c r="F16" s="13">
        <f>1.96*mgmt!E228</f>
        <v>7.4479999999999991E-2</v>
      </c>
      <c r="G16" s="13">
        <f>mgmt!F228</f>
        <v>0.1129</v>
      </c>
      <c r="H16" s="13">
        <f>1.96*mgmt!G228</f>
        <v>4.3316E-2</v>
      </c>
      <c r="I16" s="13">
        <f>mgmt!H228</f>
        <v>2.8400000000000002E-2</v>
      </c>
      <c r="J16" s="13">
        <f>1.96*mgmt!I228</f>
        <v>4.1943999999999995E-2</v>
      </c>
      <c r="T16" s="7"/>
      <c r="U16" s="8"/>
    </row>
    <row r="17" spans="2:10" x14ac:dyDescent="0.35">
      <c r="B17" s="7">
        <f>mgmt!$A229</f>
        <v>0.16</v>
      </c>
      <c r="C17" s="13">
        <f>mgmt!B229</f>
        <v>0.73299999999999998</v>
      </c>
      <c r="D17" s="13">
        <f>1.96*mgmt!C229</f>
        <v>8.4084000000000006E-2</v>
      </c>
      <c r="E17" s="13">
        <f>mgmt!D229</f>
        <v>0.12470000000000001</v>
      </c>
      <c r="F17" s="13">
        <f>1.96*mgmt!E229</f>
        <v>7.2911999999999991E-2</v>
      </c>
      <c r="G17" s="13">
        <f>mgmt!F229</f>
        <v>0.1144</v>
      </c>
      <c r="H17" s="13">
        <f>1.96*mgmt!G229</f>
        <v>4.2728000000000002E-2</v>
      </c>
      <c r="I17" s="13">
        <f>mgmt!H229</f>
        <v>2.7900000000000001E-2</v>
      </c>
      <c r="J17" s="13">
        <f>1.96*mgmt!I229</f>
        <v>3.9787999999999997E-2</v>
      </c>
    </row>
    <row r="18" spans="2:10" x14ac:dyDescent="0.35">
      <c r="B18" s="7">
        <f>mgmt!$A230</f>
        <v>0.17319999999999999</v>
      </c>
      <c r="C18" s="13">
        <f>mgmt!B230</f>
        <v>0.73070000000000002</v>
      </c>
      <c r="D18" s="13">
        <f>1.96*mgmt!C230</f>
        <v>8.1927999999999987E-2</v>
      </c>
      <c r="E18" s="13">
        <f>mgmt!D230</f>
        <v>0.12609999999999999</v>
      </c>
      <c r="F18" s="13">
        <f>1.96*mgmt!E230</f>
        <v>7.1344000000000005E-2</v>
      </c>
      <c r="G18" s="13">
        <f>mgmt!F230</f>
        <v>0.1158</v>
      </c>
      <c r="H18" s="13">
        <f>1.96*mgmt!G230</f>
        <v>4.1943999999999995E-2</v>
      </c>
      <c r="I18" s="13">
        <f>mgmt!H230</f>
        <v>2.7300000000000001E-2</v>
      </c>
      <c r="J18" s="13">
        <f>1.96*mgmt!I230</f>
        <v>3.7631999999999999E-2</v>
      </c>
    </row>
    <row r="19" spans="2:10" x14ac:dyDescent="0.35">
      <c r="B19" s="7">
        <f>mgmt!$A231</f>
        <v>0.1734</v>
      </c>
      <c r="C19" s="13">
        <f>mgmt!B231</f>
        <v>0.73070000000000002</v>
      </c>
      <c r="D19" s="13">
        <f>1.96*mgmt!C231</f>
        <v>8.1927999999999987E-2</v>
      </c>
      <c r="E19" s="13">
        <f>mgmt!D231</f>
        <v>0.12609999999999999</v>
      </c>
      <c r="F19" s="13">
        <f>1.96*mgmt!E231</f>
        <v>7.1344000000000005E-2</v>
      </c>
      <c r="G19" s="13">
        <f>mgmt!F231</f>
        <v>0.1159</v>
      </c>
      <c r="H19" s="13">
        <f>1.96*mgmt!G231</f>
        <v>4.1943999999999995E-2</v>
      </c>
      <c r="I19" s="13">
        <f>mgmt!H231</f>
        <v>2.7300000000000001E-2</v>
      </c>
      <c r="J19" s="13">
        <f>1.96*mgmt!I231</f>
        <v>3.7631999999999999E-2</v>
      </c>
    </row>
    <row r="20" spans="2:10" x14ac:dyDescent="0.35">
      <c r="B20" s="7">
        <f>mgmt!$A232</f>
        <v>0.18</v>
      </c>
      <c r="C20" s="13">
        <f>mgmt!B232</f>
        <v>0.72950000000000004</v>
      </c>
      <c r="D20" s="13">
        <f>1.96*mgmt!C232</f>
        <v>8.0948000000000006E-2</v>
      </c>
      <c r="E20" s="13">
        <f>mgmt!D232</f>
        <v>0.1268</v>
      </c>
      <c r="F20" s="13">
        <f>1.96*mgmt!E232</f>
        <v>7.0559999999999998E-2</v>
      </c>
      <c r="G20" s="13">
        <f>mgmt!F232</f>
        <v>0.1166</v>
      </c>
      <c r="H20" s="13">
        <f>1.96*mgmt!G232</f>
        <v>4.1551999999999999E-2</v>
      </c>
      <c r="I20" s="13">
        <f>mgmt!H232</f>
        <v>2.7E-2</v>
      </c>
      <c r="J20" s="13">
        <f>1.96*mgmt!I232</f>
        <v>3.6652000000000004E-2</v>
      </c>
    </row>
    <row r="21" spans="2:10" x14ac:dyDescent="0.35">
      <c r="B21" s="7">
        <f>mgmt!$A233</f>
        <v>0.18340000000000001</v>
      </c>
      <c r="C21" s="13">
        <f>mgmt!B233</f>
        <v>0.72889999999999999</v>
      </c>
      <c r="D21" s="13">
        <f>1.96*mgmt!C233</f>
        <v>8.0360000000000001E-2</v>
      </c>
      <c r="E21" s="13">
        <f>mgmt!D233</f>
        <v>0.12720000000000001</v>
      </c>
      <c r="F21" s="13">
        <f>1.96*mgmt!E233</f>
        <v>7.0167999999999994E-2</v>
      </c>
      <c r="G21" s="13">
        <f>mgmt!F233</f>
        <v>0.11700000000000001</v>
      </c>
      <c r="H21" s="13">
        <f>1.96*mgmt!G233</f>
        <v>4.1356000000000004E-2</v>
      </c>
      <c r="I21" s="13">
        <f>mgmt!H233</f>
        <v>2.69E-2</v>
      </c>
      <c r="J21" s="13">
        <f>1.96*mgmt!I233</f>
        <v>3.6260000000000001E-2</v>
      </c>
    </row>
    <row r="22" spans="2:10" x14ac:dyDescent="0.35">
      <c r="B22" s="7">
        <f>mgmt!$A234</f>
        <v>0.18659999999999999</v>
      </c>
      <c r="C22" s="13">
        <f>mgmt!B234</f>
        <v>0.72840000000000005</v>
      </c>
      <c r="D22" s="13">
        <f>1.96*mgmt!C234</f>
        <v>7.9771999999999996E-2</v>
      </c>
      <c r="E22" s="13">
        <f>mgmt!D234</f>
        <v>0.1275</v>
      </c>
      <c r="F22" s="13">
        <f>1.96*mgmt!E234</f>
        <v>6.9776000000000005E-2</v>
      </c>
      <c r="G22" s="13">
        <f>mgmt!F234</f>
        <v>0.1173</v>
      </c>
      <c r="H22" s="13">
        <f>1.96*mgmt!G234</f>
        <v>4.1356000000000004E-2</v>
      </c>
      <c r="I22" s="13">
        <f>mgmt!H234</f>
        <v>2.6800000000000001E-2</v>
      </c>
      <c r="J22" s="13">
        <f>1.96*mgmt!I234</f>
        <v>3.5672000000000002E-2</v>
      </c>
    </row>
    <row r="23" spans="2:10" x14ac:dyDescent="0.35">
      <c r="B23" s="7">
        <f>mgmt!$A235</f>
        <v>0.19980000000000001</v>
      </c>
      <c r="C23" s="13">
        <f>mgmt!B235</f>
        <v>0.72599999999999998</v>
      </c>
      <c r="D23" s="13">
        <f>1.96*mgmt!C235</f>
        <v>7.7616000000000004E-2</v>
      </c>
      <c r="E23" s="13">
        <f>mgmt!D235</f>
        <v>0.12889999999999999</v>
      </c>
      <c r="F23" s="13">
        <f>1.96*mgmt!E235</f>
        <v>6.8207999999999991E-2</v>
      </c>
      <c r="G23" s="13">
        <f>mgmt!F235</f>
        <v>0.1188</v>
      </c>
      <c r="H23" s="13">
        <f>1.96*mgmt!G235</f>
        <v>4.0571999999999997E-2</v>
      </c>
      <c r="I23" s="13">
        <f>mgmt!H235</f>
        <v>2.63E-2</v>
      </c>
      <c r="J23" s="13">
        <f>1.96*mgmt!I235</f>
        <v>3.3908000000000001E-2</v>
      </c>
    </row>
    <row r="24" spans="2:10" x14ac:dyDescent="0.35">
      <c r="B24" s="7">
        <f>mgmt!$A236</f>
        <v>0.2</v>
      </c>
      <c r="C24" s="13">
        <f>mgmt!B236</f>
        <v>0.72599999999999998</v>
      </c>
      <c r="D24" s="13">
        <f>1.96*mgmt!C236</f>
        <v>7.7616000000000004E-2</v>
      </c>
      <c r="E24" s="13">
        <f>mgmt!D236</f>
        <v>0.12889999999999999</v>
      </c>
      <c r="F24" s="13">
        <f>1.96*mgmt!E236</f>
        <v>6.8207999999999991E-2</v>
      </c>
      <c r="G24" s="13">
        <f>mgmt!F236</f>
        <v>0.1188</v>
      </c>
      <c r="H24" s="13">
        <f>1.96*mgmt!G236</f>
        <v>4.0571999999999997E-2</v>
      </c>
      <c r="I24" s="13">
        <f>mgmt!H236</f>
        <v>2.6200000000000001E-2</v>
      </c>
      <c r="J24" s="13">
        <f>1.96*mgmt!I236</f>
        <v>3.3711999999999999E-2</v>
      </c>
    </row>
    <row r="25" spans="2:10" x14ac:dyDescent="0.35">
      <c r="B25" s="7">
        <f>mgmt!$A237</f>
        <v>0.2132</v>
      </c>
      <c r="C25" s="13">
        <f>mgmt!B237</f>
        <v>0.72360000000000002</v>
      </c>
      <c r="D25" s="13">
        <f>1.96*mgmt!C237</f>
        <v>7.5459999999999999E-2</v>
      </c>
      <c r="E25" s="13">
        <f>mgmt!D237</f>
        <v>0.1303</v>
      </c>
      <c r="F25" s="13">
        <f>1.96*mgmt!E237</f>
        <v>6.6640000000000005E-2</v>
      </c>
      <c r="G25" s="13">
        <f>mgmt!F237</f>
        <v>0.1203</v>
      </c>
      <c r="H25" s="13">
        <f>1.96*mgmt!G237</f>
        <v>3.9787999999999997E-2</v>
      </c>
      <c r="I25" s="13">
        <f>mgmt!H237</f>
        <v>2.5700000000000001E-2</v>
      </c>
      <c r="J25" s="13">
        <f>1.96*mgmt!I237</f>
        <v>3.1947999999999997E-2</v>
      </c>
    </row>
    <row r="26" spans="2:10" x14ac:dyDescent="0.35">
      <c r="B26" s="7">
        <f>mgmt!$A238</f>
        <v>0.21340000000000001</v>
      </c>
      <c r="C26" s="13">
        <f>mgmt!B238</f>
        <v>0.72360000000000002</v>
      </c>
      <c r="D26" s="13">
        <f>1.96*mgmt!C238</f>
        <v>7.5263999999999998E-2</v>
      </c>
      <c r="E26" s="13">
        <f>mgmt!D238</f>
        <v>0.1303</v>
      </c>
      <c r="F26" s="13">
        <f>1.96*mgmt!E238</f>
        <v>6.6640000000000005E-2</v>
      </c>
      <c r="G26" s="13">
        <f>mgmt!F238</f>
        <v>0.12039999999999999</v>
      </c>
      <c r="H26" s="13">
        <f>1.96*mgmt!G238</f>
        <v>3.9787999999999997E-2</v>
      </c>
      <c r="I26" s="13">
        <f>mgmt!H238</f>
        <v>2.5700000000000001E-2</v>
      </c>
      <c r="J26" s="13">
        <f>1.96*mgmt!I238</f>
        <v>3.1947999999999997E-2</v>
      </c>
    </row>
    <row r="27" spans="2:10" x14ac:dyDescent="0.35">
      <c r="B27" s="7">
        <f>mgmt!$A239</f>
        <v>0.21659999999999999</v>
      </c>
      <c r="C27" s="13">
        <f>mgmt!B239</f>
        <v>0.72299999999999998</v>
      </c>
      <c r="D27" s="13">
        <f>1.96*mgmt!C239</f>
        <v>7.4871999999999994E-2</v>
      </c>
      <c r="E27" s="13">
        <f>mgmt!D239</f>
        <v>0.13070000000000001</v>
      </c>
      <c r="F27" s="13">
        <f>1.96*mgmt!E239</f>
        <v>6.6247999999999987E-2</v>
      </c>
      <c r="G27" s="13">
        <f>mgmt!F239</f>
        <v>0.1207</v>
      </c>
      <c r="H27" s="13">
        <f>1.96*mgmt!G239</f>
        <v>3.9591999999999995E-2</v>
      </c>
      <c r="I27" s="13">
        <f>mgmt!H239</f>
        <v>2.5600000000000001E-2</v>
      </c>
      <c r="J27" s="13">
        <f>1.96*mgmt!I239</f>
        <v>3.1556000000000001E-2</v>
      </c>
    </row>
    <row r="28" spans="2:10" x14ac:dyDescent="0.35">
      <c r="B28" s="7">
        <f>mgmt!$A240</f>
        <v>0.22339999999999999</v>
      </c>
      <c r="C28" s="13">
        <f>mgmt!B240</f>
        <v>0.7218</v>
      </c>
      <c r="D28" s="13">
        <f>1.96*mgmt!C240</f>
        <v>7.3695999999999998E-2</v>
      </c>
      <c r="E28" s="13">
        <f>mgmt!D240</f>
        <v>0.13139999999999999</v>
      </c>
      <c r="F28" s="13">
        <f>1.96*mgmt!E240</f>
        <v>6.5268000000000007E-2</v>
      </c>
      <c r="G28" s="13">
        <f>mgmt!F240</f>
        <v>0.1215</v>
      </c>
      <c r="H28" s="13">
        <f>1.96*mgmt!G240</f>
        <v>3.9396E-2</v>
      </c>
      <c r="I28" s="13">
        <f>mgmt!H240</f>
        <v>2.53E-2</v>
      </c>
      <c r="J28" s="13">
        <f>1.96*mgmt!I240</f>
        <v>3.0575999999999999E-2</v>
      </c>
    </row>
    <row r="29" spans="2:10" x14ac:dyDescent="0.35">
      <c r="B29" s="7">
        <f>mgmt!$A241</f>
        <v>0.2266</v>
      </c>
      <c r="C29" s="13">
        <f>mgmt!B241</f>
        <v>0.72119999999999995</v>
      </c>
      <c r="D29" s="13">
        <f>1.96*mgmt!C241</f>
        <v>7.3107999999999992E-2</v>
      </c>
      <c r="E29" s="13">
        <f>mgmt!D241</f>
        <v>0.13170000000000001</v>
      </c>
      <c r="F29" s="13">
        <f>1.96*mgmt!E241</f>
        <v>6.4875999999999989E-2</v>
      </c>
      <c r="G29" s="13">
        <f>mgmt!F241</f>
        <v>0.12189999999999999</v>
      </c>
      <c r="H29" s="13">
        <f>1.96*mgmt!G241</f>
        <v>3.9199999999999999E-2</v>
      </c>
      <c r="I29" s="13">
        <f>mgmt!H241</f>
        <v>2.52E-2</v>
      </c>
      <c r="J29" s="13">
        <f>1.96*mgmt!I241</f>
        <v>3.0183999999999999E-2</v>
      </c>
    </row>
    <row r="30" spans="2:10" x14ac:dyDescent="0.35">
      <c r="B30" s="7">
        <f>mgmt!$A242</f>
        <v>0.24</v>
      </c>
      <c r="C30" s="13">
        <f>mgmt!B242</f>
        <v>0.71870000000000001</v>
      </c>
      <c r="D30" s="13">
        <f>1.96*mgmt!C242</f>
        <v>7.0952000000000001E-2</v>
      </c>
      <c r="E30" s="13">
        <f>mgmt!D242</f>
        <v>0.1331</v>
      </c>
      <c r="F30" s="13">
        <f>1.96*mgmt!E242</f>
        <v>6.3308000000000003E-2</v>
      </c>
      <c r="G30" s="13">
        <f>mgmt!F242</f>
        <v>0.1234</v>
      </c>
      <c r="H30" s="13">
        <f>1.96*mgmt!G242</f>
        <v>3.8415999999999999E-2</v>
      </c>
      <c r="I30" s="13">
        <f>mgmt!H242</f>
        <v>2.47E-2</v>
      </c>
      <c r="J30" s="13">
        <f>1.96*mgmt!I242</f>
        <v>2.8420000000000001E-2</v>
      </c>
    </row>
    <row r="31" spans="2:10" x14ac:dyDescent="0.35">
      <c r="B31" s="7">
        <f>mgmt!$A243</f>
        <v>0.25</v>
      </c>
      <c r="C31" s="13">
        <f>mgmt!B243</f>
        <v>0.71689999999999998</v>
      </c>
      <c r="D31" s="13">
        <f>1.96*mgmt!C243</f>
        <v>6.9384000000000001E-2</v>
      </c>
      <c r="E31" s="13">
        <f>mgmt!D243</f>
        <v>0.13420000000000001</v>
      </c>
      <c r="F31" s="13">
        <f>1.96*mgmt!E243</f>
        <v>6.1936000000000005E-2</v>
      </c>
      <c r="G31" s="13">
        <f>mgmt!F243</f>
        <v>0.1246</v>
      </c>
      <c r="H31" s="13">
        <f>1.96*mgmt!G243</f>
        <v>3.7828000000000001E-2</v>
      </c>
      <c r="I31" s="13">
        <f>mgmt!H243</f>
        <v>2.4400000000000002E-2</v>
      </c>
      <c r="J31" s="13">
        <f>1.96*mgmt!I243</f>
        <v>2.7243999999999997E-2</v>
      </c>
    </row>
    <row r="32" spans="2:10" x14ac:dyDescent="0.35">
      <c r="B32" s="7">
        <f>mgmt!$A244</f>
        <v>0.25319999999999998</v>
      </c>
      <c r="C32" s="13">
        <f>mgmt!B244</f>
        <v>0.71630000000000005</v>
      </c>
      <c r="D32" s="13">
        <f>1.96*mgmt!C244</f>
        <v>6.8795999999999996E-2</v>
      </c>
      <c r="E32" s="13">
        <f>mgmt!D244</f>
        <v>0.1346</v>
      </c>
      <c r="F32" s="13">
        <f>1.96*mgmt!E244</f>
        <v>6.1543999999999995E-2</v>
      </c>
      <c r="G32" s="13">
        <f>mgmt!F244</f>
        <v>0.1249</v>
      </c>
      <c r="H32" s="13">
        <f>1.96*mgmt!G244</f>
        <v>3.7631999999999999E-2</v>
      </c>
      <c r="I32" s="13">
        <f>mgmt!H244</f>
        <v>2.4199999999999999E-2</v>
      </c>
      <c r="J32" s="13">
        <f>1.96*mgmt!I244</f>
        <v>2.6852000000000001E-2</v>
      </c>
    </row>
    <row r="33" spans="2:10" x14ac:dyDescent="0.35">
      <c r="B33" s="7">
        <f>mgmt!$A245</f>
        <v>0.25340000000000001</v>
      </c>
      <c r="C33" s="13">
        <f>mgmt!B245</f>
        <v>0.71619999999999995</v>
      </c>
      <c r="D33" s="13">
        <f>1.96*mgmt!C245</f>
        <v>6.8795999999999996E-2</v>
      </c>
      <c r="E33" s="13">
        <f>mgmt!D245</f>
        <v>0.1346</v>
      </c>
      <c r="F33" s="13">
        <f>1.96*mgmt!E245</f>
        <v>6.1543999999999995E-2</v>
      </c>
      <c r="G33" s="13">
        <f>mgmt!F245</f>
        <v>0.125</v>
      </c>
      <c r="H33" s="13">
        <f>1.96*mgmt!G245</f>
        <v>3.7631999999999999E-2</v>
      </c>
      <c r="I33" s="13">
        <f>mgmt!H245</f>
        <v>2.4199999999999999E-2</v>
      </c>
      <c r="J33" s="13">
        <f>1.96*mgmt!I245</f>
        <v>2.6852000000000001E-2</v>
      </c>
    </row>
    <row r="34" spans="2:10" x14ac:dyDescent="0.35">
      <c r="B34" s="7">
        <f>mgmt!$A246</f>
        <v>0.26340000000000002</v>
      </c>
      <c r="C34" s="13">
        <f>mgmt!B246</f>
        <v>0.71440000000000003</v>
      </c>
      <c r="D34" s="13">
        <f>1.96*mgmt!C246</f>
        <v>6.7227999999999996E-2</v>
      </c>
      <c r="E34" s="13">
        <f>mgmt!D246</f>
        <v>0.13569999999999999</v>
      </c>
      <c r="F34" s="13">
        <f>1.96*mgmt!E246</f>
        <v>6.0172000000000003E-2</v>
      </c>
      <c r="G34" s="13">
        <f>mgmt!F246</f>
        <v>0.12609999999999999</v>
      </c>
      <c r="H34" s="13">
        <f>1.96*mgmt!G246</f>
        <v>3.7044000000000001E-2</v>
      </c>
      <c r="I34" s="13">
        <f>mgmt!H246</f>
        <v>2.3900000000000001E-2</v>
      </c>
      <c r="J34" s="13">
        <f>1.96*mgmt!I246</f>
        <v>2.5479999999999999E-2</v>
      </c>
    </row>
    <row r="35" spans="2:10" x14ac:dyDescent="0.35">
      <c r="B35" s="7">
        <f>mgmt!$A247</f>
        <v>0.2666</v>
      </c>
      <c r="C35" s="13">
        <f>mgmt!B247</f>
        <v>0.7137</v>
      </c>
      <c r="D35" s="13">
        <f>1.96*mgmt!C247</f>
        <v>6.6640000000000005E-2</v>
      </c>
      <c r="E35" s="13">
        <f>mgmt!D247</f>
        <v>0.13600000000000001</v>
      </c>
      <c r="F35" s="13">
        <f>1.96*mgmt!E247</f>
        <v>5.978E-2</v>
      </c>
      <c r="G35" s="13">
        <f>mgmt!F247</f>
        <v>0.1265</v>
      </c>
      <c r="H35" s="13">
        <f>1.96*mgmt!G247</f>
        <v>3.7044000000000001E-2</v>
      </c>
      <c r="I35" s="13">
        <f>mgmt!H247</f>
        <v>2.3800000000000002E-2</v>
      </c>
      <c r="J35" s="13">
        <f>1.96*mgmt!I247</f>
        <v>2.5284000000000001E-2</v>
      </c>
    </row>
    <row r="36" spans="2:10" x14ac:dyDescent="0.35">
      <c r="B36" s="7">
        <f>mgmt!$A248</f>
        <v>0.26679999999999998</v>
      </c>
      <c r="C36" s="13">
        <f>mgmt!B248</f>
        <v>0.7137</v>
      </c>
      <c r="D36" s="13">
        <f>1.96*mgmt!C248</f>
        <v>6.6640000000000005E-2</v>
      </c>
      <c r="E36" s="13">
        <f>mgmt!D248</f>
        <v>0.13600000000000001</v>
      </c>
      <c r="F36" s="13">
        <f>1.96*mgmt!E248</f>
        <v>5.978E-2</v>
      </c>
      <c r="G36" s="13">
        <f>mgmt!F248</f>
        <v>0.1265</v>
      </c>
      <c r="H36" s="13">
        <f>1.96*mgmt!G248</f>
        <v>3.6847999999999999E-2</v>
      </c>
      <c r="I36" s="13">
        <f>mgmt!H248</f>
        <v>2.3699999999999999E-2</v>
      </c>
      <c r="J36" s="13">
        <f>1.96*mgmt!I248</f>
        <v>2.5087999999999999E-2</v>
      </c>
    </row>
    <row r="37" spans="2:10" x14ac:dyDescent="0.35">
      <c r="B37" s="7">
        <f>mgmt!$A249</f>
        <v>0.27660000000000001</v>
      </c>
      <c r="C37" s="13">
        <f>mgmt!B249</f>
        <v>0.71179999999999999</v>
      </c>
      <c r="D37" s="13">
        <f>1.96*mgmt!C249</f>
        <v>6.5072000000000005E-2</v>
      </c>
      <c r="E37" s="13">
        <f>mgmt!D249</f>
        <v>0.1371</v>
      </c>
      <c r="F37" s="13">
        <f>1.96*mgmt!E249</f>
        <v>5.8408000000000002E-2</v>
      </c>
      <c r="G37" s="13">
        <f>mgmt!F249</f>
        <v>0.12770000000000001</v>
      </c>
      <c r="H37" s="13">
        <f>1.96*mgmt!G249</f>
        <v>3.6455999999999995E-2</v>
      </c>
      <c r="I37" s="13">
        <f>mgmt!H249</f>
        <v>2.3400000000000001E-2</v>
      </c>
      <c r="J37" s="13">
        <f>1.96*mgmt!I249</f>
        <v>2.4108000000000001E-2</v>
      </c>
    </row>
    <row r="38" spans="2:10" x14ac:dyDescent="0.35">
      <c r="B38" s="7">
        <f>mgmt!$A250</f>
        <v>0.28000000000000003</v>
      </c>
      <c r="C38" s="13">
        <f>mgmt!B250</f>
        <v>0.71120000000000005</v>
      </c>
      <c r="D38" s="13">
        <f>1.96*mgmt!C250</f>
        <v>6.4680000000000001E-2</v>
      </c>
      <c r="E38" s="13">
        <f>mgmt!D250</f>
        <v>0.13739999999999999</v>
      </c>
      <c r="F38" s="13">
        <f>1.96*mgmt!E250</f>
        <v>5.8015999999999998E-2</v>
      </c>
      <c r="G38" s="13">
        <f>mgmt!F250</f>
        <v>0.12809999999999999</v>
      </c>
      <c r="H38" s="13">
        <f>1.96*mgmt!G250</f>
        <v>3.6260000000000001E-2</v>
      </c>
      <c r="I38" s="13">
        <f>mgmt!H250</f>
        <v>2.3300000000000001E-2</v>
      </c>
      <c r="J38" s="13">
        <f>1.96*mgmt!I250</f>
        <v>2.3715999999999997E-2</v>
      </c>
    </row>
    <row r="39" spans="2:10" x14ac:dyDescent="0.35">
      <c r="B39" s="7">
        <f>mgmt!$A251</f>
        <v>0.28660000000000002</v>
      </c>
      <c r="C39" s="13">
        <f>mgmt!B251</f>
        <v>0.70989999999999998</v>
      </c>
      <c r="D39" s="13">
        <f>1.96*mgmt!C251</f>
        <v>6.3503999999999991E-2</v>
      </c>
      <c r="E39" s="13">
        <f>mgmt!D251</f>
        <v>0.13819999999999999</v>
      </c>
      <c r="F39" s="13">
        <f>1.96*mgmt!E251</f>
        <v>5.7231999999999998E-2</v>
      </c>
      <c r="G39" s="13">
        <f>mgmt!F251</f>
        <v>0.12889999999999999</v>
      </c>
      <c r="H39" s="13">
        <f>1.96*mgmt!G251</f>
        <v>3.5867999999999997E-2</v>
      </c>
      <c r="I39" s="13">
        <f>mgmt!H251</f>
        <v>2.3E-2</v>
      </c>
      <c r="J39" s="13">
        <f>1.96*mgmt!I251</f>
        <v>2.2932000000000001E-2</v>
      </c>
    </row>
    <row r="40" spans="2:10" x14ac:dyDescent="0.35">
      <c r="B40" s="7">
        <f>mgmt!$A252</f>
        <v>0.29320000000000002</v>
      </c>
      <c r="C40" s="13">
        <f>mgmt!B252</f>
        <v>0.70860000000000001</v>
      </c>
      <c r="D40" s="13">
        <f>1.96*mgmt!C252</f>
        <v>6.2523999999999996E-2</v>
      </c>
      <c r="E40" s="13">
        <f>mgmt!D252</f>
        <v>0.1389</v>
      </c>
      <c r="F40" s="13">
        <f>1.96*mgmt!E252</f>
        <v>5.6251999999999996E-2</v>
      </c>
      <c r="G40" s="13">
        <f>mgmt!F252</f>
        <v>0.12970000000000001</v>
      </c>
      <c r="H40" s="13">
        <f>1.96*mgmt!G252</f>
        <v>3.5476000000000001E-2</v>
      </c>
      <c r="I40" s="13">
        <f>mgmt!H252</f>
        <v>2.2800000000000001E-2</v>
      </c>
      <c r="J40" s="13">
        <f>1.96*mgmt!I252</f>
        <v>2.2147999999999998E-2</v>
      </c>
    </row>
    <row r="41" spans="2:10" x14ac:dyDescent="0.35">
      <c r="B41" s="7">
        <f>mgmt!$A253</f>
        <v>0.29339999999999999</v>
      </c>
      <c r="C41" s="13">
        <f>mgmt!B253</f>
        <v>0.70860000000000001</v>
      </c>
      <c r="D41" s="13">
        <f>1.96*mgmt!C253</f>
        <v>6.2523999999999996E-2</v>
      </c>
      <c r="E41" s="13">
        <f>mgmt!D253</f>
        <v>0.1389</v>
      </c>
      <c r="F41" s="13">
        <f>1.96*mgmt!E253</f>
        <v>5.6251999999999996E-2</v>
      </c>
      <c r="G41" s="13">
        <f>mgmt!F253</f>
        <v>0.12970000000000001</v>
      </c>
      <c r="H41" s="13">
        <f>1.96*mgmt!G253</f>
        <v>3.5476000000000001E-2</v>
      </c>
      <c r="I41" s="13">
        <f>mgmt!H253</f>
        <v>2.2800000000000001E-2</v>
      </c>
      <c r="J41" s="13">
        <f>1.96*mgmt!I253</f>
        <v>2.2147999999999998E-2</v>
      </c>
    </row>
    <row r="42" spans="2:10" x14ac:dyDescent="0.35">
      <c r="B42" s="7">
        <f>mgmt!$A254</f>
        <v>0.30659999999999998</v>
      </c>
      <c r="C42" s="13">
        <f>mgmt!B254</f>
        <v>0.70599999999999996</v>
      </c>
      <c r="D42" s="13">
        <f>1.96*mgmt!C254</f>
        <v>6.0367999999999998E-2</v>
      </c>
      <c r="E42" s="13">
        <f>mgmt!D254</f>
        <v>0.1404</v>
      </c>
      <c r="F42" s="13">
        <f>1.96*mgmt!E254</f>
        <v>5.4487999999999995E-2</v>
      </c>
      <c r="G42" s="13">
        <f>mgmt!F254</f>
        <v>0.1313</v>
      </c>
      <c r="H42" s="13">
        <f>1.96*mgmt!G254</f>
        <v>3.4692000000000001E-2</v>
      </c>
      <c r="I42" s="13">
        <f>mgmt!H254</f>
        <v>2.24E-2</v>
      </c>
      <c r="J42" s="13">
        <f>1.96*mgmt!I254</f>
        <v>2.0775999999999999E-2</v>
      </c>
    </row>
    <row r="43" spans="2:10" x14ac:dyDescent="0.35">
      <c r="B43" s="7">
        <f>mgmt!$A255</f>
        <v>0.30680000000000002</v>
      </c>
      <c r="C43" s="13">
        <f>mgmt!B255</f>
        <v>0.70599999999999996</v>
      </c>
      <c r="D43" s="13">
        <f>1.96*mgmt!C255</f>
        <v>6.0367999999999998E-2</v>
      </c>
      <c r="E43" s="13">
        <f>mgmt!D255</f>
        <v>0.1404</v>
      </c>
      <c r="F43" s="13">
        <f>1.96*mgmt!E255</f>
        <v>5.4487999999999995E-2</v>
      </c>
      <c r="G43" s="13">
        <f>mgmt!F255</f>
        <v>0.1313</v>
      </c>
      <c r="H43" s="13">
        <f>1.96*mgmt!G255</f>
        <v>3.4692000000000001E-2</v>
      </c>
      <c r="I43" s="13">
        <f>mgmt!H255</f>
        <v>2.23E-2</v>
      </c>
      <c r="J43" s="13">
        <f>1.96*mgmt!I255</f>
        <v>2.0775999999999999E-2</v>
      </c>
    </row>
    <row r="44" spans="2:10" x14ac:dyDescent="0.35">
      <c r="B44" s="7">
        <f>mgmt!$A256</f>
        <v>0.31659999999999999</v>
      </c>
      <c r="C44" s="13">
        <f>mgmt!B256</f>
        <v>0.70409999999999995</v>
      </c>
      <c r="D44" s="13">
        <f>1.96*mgmt!C256</f>
        <v>5.8799999999999998E-2</v>
      </c>
      <c r="E44" s="13">
        <f>mgmt!D256</f>
        <v>0.14149999999999999</v>
      </c>
      <c r="F44" s="13">
        <f>1.96*mgmt!E256</f>
        <v>5.3115999999999997E-2</v>
      </c>
      <c r="G44" s="13">
        <f>mgmt!F256</f>
        <v>0.13250000000000001</v>
      </c>
      <c r="H44" s="13">
        <f>1.96*mgmt!G256</f>
        <v>3.4103999999999995E-2</v>
      </c>
      <c r="I44" s="13">
        <f>mgmt!H256</f>
        <v>2.1999999999999999E-2</v>
      </c>
      <c r="J44" s="13">
        <f>1.96*mgmt!I256</f>
        <v>1.9795999999999998E-2</v>
      </c>
    </row>
    <row r="45" spans="2:10" x14ac:dyDescent="0.35">
      <c r="B45" s="7">
        <f>mgmt!$A257</f>
        <v>0.31979999999999997</v>
      </c>
      <c r="C45" s="13">
        <f>mgmt!B257</f>
        <v>0.70340000000000003</v>
      </c>
      <c r="D45" s="13">
        <f>1.96*mgmt!C257</f>
        <v>5.8408000000000002E-2</v>
      </c>
      <c r="E45" s="13">
        <f>mgmt!D257</f>
        <v>0.14180000000000001</v>
      </c>
      <c r="F45" s="13">
        <f>1.96*mgmt!E257</f>
        <v>5.2724E-2</v>
      </c>
      <c r="G45" s="13">
        <f>mgmt!F257</f>
        <v>0.13289999999999999</v>
      </c>
      <c r="H45" s="13">
        <f>1.96*mgmt!G257</f>
        <v>3.4103999999999995E-2</v>
      </c>
      <c r="I45" s="13">
        <f>mgmt!H257</f>
        <v>2.1899999999999999E-2</v>
      </c>
      <c r="J45" s="13">
        <f>1.96*mgmt!I257</f>
        <v>1.9404000000000001E-2</v>
      </c>
    </row>
    <row r="46" spans="2:10" x14ac:dyDescent="0.35">
      <c r="B46" s="7">
        <f>mgmt!$A258</f>
        <v>0.32</v>
      </c>
      <c r="C46" s="13">
        <f>mgmt!B258</f>
        <v>0.70340000000000003</v>
      </c>
      <c r="D46" s="13">
        <f>1.96*mgmt!C258</f>
        <v>5.8408000000000002E-2</v>
      </c>
      <c r="E46" s="13">
        <f>mgmt!D258</f>
        <v>0.14180000000000001</v>
      </c>
      <c r="F46" s="13">
        <f>1.96*mgmt!E258</f>
        <v>5.2724E-2</v>
      </c>
      <c r="G46" s="13">
        <f>mgmt!F258</f>
        <v>0.13289999999999999</v>
      </c>
      <c r="H46" s="13">
        <f>1.96*mgmt!G258</f>
        <v>3.3908000000000001E-2</v>
      </c>
      <c r="I46" s="13">
        <f>mgmt!H258</f>
        <v>2.1899999999999999E-2</v>
      </c>
      <c r="J46" s="13">
        <f>1.96*mgmt!I258</f>
        <v>1.9404000000000001E-2</v>
      </c>
    </row>
    <row r="47" spans="2:10" x14ac:dyDescent="0.35">
      <c r="B47" s="7">
        <f>mgmt!$A259</f>
        <v>0.32319999999999999</v>
      </c>
      <c r="C47" s="13">
        <f>mgmt!B259</f>
        <v>0.70279999999999998</v>
      </c>
      <c r="D47" s="13">
        <f>1.96*mgmt!C259</f>
        <v>5.7819999999999996E-2</v>
      </c>
      <c r="E47" s="13">
        <f>mgmt!D259</f>
        <v>0.14219999999999999</v>
      </c>
      <c r="F47" s="13">
        <f>1.96*mgmt!E259</f>
        <v>5.2332000000000004E-2</v>
      </c>
      <c r="G47" s="13">
        <f>mgmt!F259</f>
        <v>0.1333</v>
      </c>
      <c r="H47" s="13">
        <f>1.96*mgmt!G259</f>
        <v>3.3908000000000001E-2</v>
      </c>
      <c r="I47" s="13">
        <f>mgmt!H259</f>
        <v>2.18E-2</v>
      </c>
      <c r="J47" s="13">
        <f>1.96*mgmt!I259</f>
        <v>1.9207999999999999E-2</v>
      </c>
    </row>
    <row r="48" spans="2:10" x14ac:dyDescent="0.35">
      <c r="B48" s="7">
        <f>mgmt!$A260</f>
        <v>0.33</v>
      </c>
      <c r="C48" s="13">
        <f>mgmt!B260</f>
        <v>0.70140000000000002</v>
      </c>
      <c r="D48" s="13">
        <f>1.96*mgmt!C260</f>
        <v>5.6840000000000002E-2</v>
      </c>
      <c r="E48" s="13">
        <f>mgmt!D260</f>
        <v>0.1429</v>
      </c>
      <c r="F48" s="13">
        <f>1.96*mgmt!E260</f>
        <v>5.1352000000000002E-2</v>
      </c>
      <c r="G48" s="13">
        <f>mgmt!F260</f>
        <v>0.1341</v>
      </c>
      <c r="H48" s="13">
        <f>1.96*mgmt!G260</f>
        <v>3.3515999999999997E-2</v>
      </c>
      <c r="I48" s="13">
        <f>mgmt!H260</f>
        <v>2.1600000000000001E-2</v>
      </c>
      <c r="J48" s="13">
        <f>1.96*mgmt!I260</f>
        <v>1.8423999999999999E-2</v>
      </c>
    </row>
    <row r="49" spans="2:10" x14ac:dyDescent="0.35">
      <c r="B49" s="7">
        <f>mgmt!$A261</f>
        <v>0.3332</v>
      </c>
      <c r="C49" s="13">
        <f>mgmt!B261</f>
        <v>0.70079999999999998</v>
      </c>
      <c r="D49" s="13">
        <f>1.96*mgmt!C261</f>
        <v>5.6447999999999998E-2</v>
      </c>
      <c r="E49" s="13">
        <f>mgmt!D261</f>
        <v>0.14330000000000001</v>
      </c>
      <c r="F49" s="13">
        <f>1.96*mgmt!E261</f>
        <v>5.0959999999999998E-2</v>
      </c>
      <c r="G49" s="13">
        <f>mgmt!F261</f>
        <v>0.13450000000000001</v>
      </c>
      <c r="H49" s="13">
        <f>1.96*mgmt!G261</f>
        <v>3.3320000000000002E-2</v>
      </c>
      <c r="I49" s="13">
        <f>mgmt!H261</f>
        <v>2.1499999999999998E-2</v>
      </c>
      <c r="J49" s="13">
        <f>1.96*mgmt!I261</f>
        <v>1.8227999999999998E-2</v>
      </c>
    </row>
    <row r="50" spans="2:10" x14ac:dyDescent="0.35">
      <c r="B50" s="7">
        <f>mgmt!$A262</f>
        <v>0.33339999999999997</v>
      </c>
      <c r="C50" s="13">
        <f>mgmt!B262</f>
        <v>0.70069999999999999</v>
      </c>
      <c r="D50" s="13">
        <f>1.96*mgmt!C262</f>
        <v>5.6251999999999996E-2</v>
      </c>
      <c r="E50" s="13">
        <f>mgmt!D262</f>
        <v>0.14330000000000001</v>
      </c>
      <c r="F50" s="13">
        <f>1.96*mgmt!E262</f>
        <v>5.0959999999999998E-2</v>
      </c>
      <c r="G50" s="13">
        <f>mgmt!F262</f>
        <v>0.13450000000000001</v>
      </c>
      <c r="H50" s="13">
        <f>1.96*mgmt!G262</f>
        <v>3.3320000000000002E-2</v>
      </c>
      <c r="I50" s="13">
        <f>mgmt!H262</f>
        <v>2.1499999999999998E-2</v>
      </c>
      <c r="J50" s="13">
        <f>1.96*mgmt!I262</f>
        <v>1.8227999999999998E-2</v>
      </c>
    </row>
    <row r="51" spans="2:10" x14ac:dyDescent="0.35">
      <c r="B51" s="7">
        <f>mgmt!$A263</f>
        <v>0.34339999999999998</v>
      </c>
      <c r="C51" s="13">
        <f>mgmt!B263</f>
        <v>0.69869999999999999</v>
      </c>
      <c r="D51" s="13">
        <f>1.96*mgmt!C263</f>
        <v>5.4879999999999998E-2</v>
      </c>
      <c r="E51" s="13">
        <f>mgmt!D263</f>
        <v>0.1444</v>
      </c>
      <c r="F51" s="13">
        <f>1.96*mgmt!E263</f>
        <v>4.9588E-2</v>
      </c>
      <c r="G51" s="13">
        <f>mgmt!F263</f>
        <v>0.13569999999999999</v>
      </c>
      <c r="H51" s="13">
        <f>1.96*mgmt!G263</f>
        <v>3.2731999999999997E-2</v>
      </c>
      <c r="I51" s="13">
        <f>mgmt!H263</f>
        <v>2.1100000000000001E-2</v>
      </c>
      <c r="J51" s="13">
        <f>1.96*mgmt!I263</f>
        <v>1.7247999999999999E-2</v>
      </c>
    </row>
    <row r="52" spans="2:10" x14ac:dyDescent="0.35">
      <c r="B52" s="7">
        <f>mgmt!$A264</f>
        <v>0.34660000000000002</v>
      </c>
      <c r="C52" s="13">
        <f>mgmt!B264</f>
        <v>0.69810000000000005</v>
      </c>
      <c r="D52" s="13">
        <f>1.96*mgmt!C264</f>
        <v>5.4292E-2</v>
      </c>
      <c r="E52" s="13">
        <f>mgmt!D264</f>
        <v>0.14480000000000001</v>
      </c>
      <c r="F52" s="13">
        <f>1.96*mgmt!E264</f>
        <v>4.9196000000000004E-2</v>
      </c>
      <c r="G52" s="13">
        <f>mgmt!F264</f>
        <v>0.1361</v>
      </c>
      <c r="H52" s="13">
        <f>1.96*mgmt!G264</f>
        <v>3.2536000000000002E-2</v>
      </c>
      <c r="I52" s="13">
        <f>mgmt!H264</f>
        <v>2.1000000000000001E-2</v>
      </c>
      <c r="J52" s="13">
        <f>1.96*mgmt!I264</f>
        <v>1.7051999999999998E-2</v>
      </c>
    </row>
    <row r="53" spans="2:10" x14ac:dyDescent="0.35">
      <c r="B53" s="7">
        <f>mgmt!$A265</f>
        <v>0.3468</v>
      </c>
      <c r="C53" s="13">
        <f>mgmt!B265</f>
        <v>0.69799999999999995</v>
      </c>
      <c r="D53" s="13">
        <f>1.96*mgmt!C265</f>
        <v>5.4292E-2</v>
      </c>
      <c r="E53" s="13">
        <f>mgmt!D265</f>
        <v>0.14480000000000001</v>
      </c>
      <c r="F53" s="13">
        <f>1.96*mgmt!E265</f>
        <v>4.9196000000000004E-2</v>
      </c>
      <c r="G53" s="13">
        <f>mgmt!F265</f>
        <v>0.13619999999999999</v>
      </c>
      <c r="H53" s="13">
        <f>1.96*mgmt!G265</f>
        <v>3.2536000000000002E-2</v>
      </c>
      <c r="I53" s="13">
        <f>mgmt!H265</f>
        <v>2.1000000000000001E-2</v>
      </c>
      <c r="J53" s="13">
        <f>1.96*mgmt!I265</f>
        <v>1.7051999999999998E-2</v>
      </c>
    </row>
    <row r="54" spans="2:10" x14ac:dyDescent="0.35">
      <c r="B54" s="7">
        <f>mgmt!$A266</f>
        <v>0.35</v>
      </c>
      <c r="C54" s="13">
        <f>mgmt!B266</f>
        <v>0.69740000000000002</v>
      </c>
      <c r="D54" s="13">
        <f>1.96*mgmt!C266</f>
        <v>5.3899999999999997E-2</v>
      </c>
      <c r="E54" s="13">
        <f>mgmt!D266</f>
        <v>0.1452</v>
      </c>
      <c r="F54" s="13">
        <f>1.96*mgmt!E266</f>
        <v>4.8803999999999993E-2</v>
      </c>
      <c r="G54" s="13">
        <f>mgmt!F266</f>
        <v>0.1366</v>
      </c>
      <c r="H54" s="13">
        <f>1.96*mgmt!G266</f>
        <v>3.2340000000000001E-2</v>
      </c>
      <c r="I54" s="13">
        <f>mgmt!H266</f>
        <v>2.0899999999999998E-2</v>
      </c>
      <c r="J54" s="13">
        <f>1.96*mgmt!I266</f>
        <v>1.6660000000000001E-2</v>
      </c>
    </row>
    <row r="55" spans="2:10" x14ac:dyDescent="0.35">
      <c r="B55" s="7">
        <f>mgmt!$A267</f>
        <v>0.35339999999999999</v>
      </c>
      <c r="C55" s="13">
        <f>mgmt!B267</f>
        <v>0.69669999999999999</v>
      </c>
      <c r="D55" s="13">
        <f>1.96*mgmt!C267</f>
        <v>5.3311999999999998E-2</v>
      </c>
      <c r="E55" s="13">
        <f>mgmt!D267</f>
        <v>0.14549999999999999</v>
      </c>
      <c r="F55" s="13">
        <f>1.96*mgmt!E267</f>
        <v>4.8411999999999997E-2</v>
      </c>
      <c r="G55" s="13">
        <f>mgmt!F267</f>
        <v>0.13700000000000001</v>
      </c>
      <c r="H55" s="13">
        <f>1.96*mgmt!G267</f>
        <v>3.2143999999999999E-2</v>
      </c>
      <c r="I55" s="13">
        <f>mgmt!H267</f>
        <v>2.0799999999999999E-2</v>
      </c>
      <c r="J55" s="13">
        <f>1.96*mgmt!I267</f>
        <v>1.6463999999999999E-2</v>
      </c>
    </row>
    <row r="56" spans="2:10" x14ac:dyDescent="0.35">
      <c r="B56" s="7">
        <f>mgmt!$A268</f>
        <v>0.35680000000000001</v>
      </c>
      <c r="C56" s="13">
        <f>mgmt!B268</f>
        <v>0.69599999999999995</v>
      </c>
      <c r="D56" s="13">
        <f>1.96*mgmt!C268</f>
        <v>5.2920000000000002E-2</v>
      </c>
      <c r="E56" s="13">
        <f>mgmt!D268</f>
        <v>0.1459</v>
      </c>
      <c r="F56" s="13">
        <f>1.96*mgmt!E268</f>
        <v>4.7824000000000005E-2</v>
      </c>
      <c r="G56" s="13">
        <f>mgmt!F268</f>
        <v>0.13739999999999999</v>
      </c>
      <c r="H56" s="13">
        <f>1.96*mgmt!G268</f>
        <v>3.2143999999999999E-2</v>
      </c>
      <c r="I56" s="13">
        <f>mgmt!H268</f>
        <v>2.07E-2</v>
      </c>
      <c r="J56" s="13">
        <f>1.96*mgmt!I268</f>
        <v>1.6071999999999999E-2</v>
      </c>
    </row>
    <row r="57" spans="2:10" x14ac:dyDescent="0.35">
      <c r="B57" s="7">
        <f>mgmt!$A269</f>
        <v>0.35980000000000001</v>
      </c>
      <c r="C57" s="13">
        <f>mgmt!B269</f>
        <v>0.69540000000000002</v>
      </c>
      <c r="D57" s="13">
        <f>1.96*mgmt!C269</f>
        <v>5.2527999999999998E-2</v>
      </c>
      <c r="E57" s="13">
        <f>mgmt!D269</f>
        <v>0.14630000000000001</v>
      </c>
      <c r="F57" s="13">
        <f>1.96*mgmt!E269</f>
        <v>4.7431999999999995E-2</v>
      </c>
      <c r="G57" s="13">
        <f>mgmt!F269</f>
        <v>0.13780000000000001</v>
      </c>
      <c r="H57" s="13">
        <f>1.96*mgmt!G269</f>
        <v>3.1947999999999997E-2</v>
      </c>
      <c r="I57" s="13">
        <f>mgmt!H269</f>
        <v>2.06E-2</v>
      </c>
      <c r="J57" s="13">
        <f>1.96*mgmt!I269</f>
        <v>1.5875999999999998E-2</v>
      </c>
    </row>
    <row r="58" spans="2:10" x14ac:dyDescent="0.35">
      <c r="B58" s="7">
        <f>mgmt!$A270</f>
        <v>0.36</v>
      </c>
      <c r="C58" s="13">
        <f>mgmt!B270</f>
        <v>0.69530000000000003</v>
      </c>
      <c r="D58" s="13">
        <f>1.96*mgmt!C270</f>
        <v>5.2332000000000004E-2</v>
      </c>
      <c r="E58" s="13">
        <f>mgmt!D270</f>
        <v>0.14630000000000001</v>
      </c>
      <c r="F58" s="13">
        <f>1.96*mgmt!E270</f>
        <v>4.7431999999999995E-2</v>
      </c>
      <c r="G58" s="13">
        <f>mgmt!F270</f>
        <v>0.13780000000000001</v>
      </c>
      <c r="H58" s="13">
        <f>1.96*mgmt!G270</f>
        <v>3.1947999999999997E-2</v>
      </c>
      <c r="I58" s="13">
        <f>mgmt!H270</f>
        <v>2.06E-2</v>
      </c>
      <c r="J58" s="13">
        <f>1.96*mgmt!I270</f>
        <v>1.5875999999999998E-2</v>
      </c>
    </row>
    <row r="59" spans="2:10" x14ac:dyDescent="0.35">
      <c r="B59" s="7">
        <f>mgmt!$A271</f>
        <v>0.3634</v>
      </c>
      <c r="C59" s="13">
        <f>mgmt!B271</f>
        <v>0.6946</v>
      </c>
      <c r="D59" s="13">
        <f>1.96*mgmt!C271</f>
        <v>5.194E-2</v>
      </c>
      <c r="E59" s="13">
        <f>mgmt!D271</f>
        <v>0.1467</v>
      </c>
      <c r="F59" s="13">
        <f>1.96*mgmt!E271</f>
        <v>4.7039999999999998E-2</v>
      </c>
      <c r="G59" s="13">
        <f>mgmt!F271</f>
        <v>0.13819999999999999</v>
      </c>
      <c r="H59" s="13">
        <f>1.96*mgmt!G271</f>
        <v>3.1751999999999996E-2</v>
      </c>
      <c r="I59" s="13">
        <f>mgmt!H271</f>
        <v>2.0500000000000001E-2</v>
      </c>
      <c r="J59" s="13">
        <f>1.96*mgmt!I271</f>
        <v>1.5484000000000001E-2</v>
      </c>
    </row>
    <row r="60" spans="2:10" x14ac:dyDescent="0.35">
      <c r="B60" s="7">
        <f>mgmt!$A272</f>
        <v>0.36659999999999998</v>
      </c>
      <c r="C60" s="13">
        <f>mgmt!B272</f>
        <v>0.69399999999999995</v>
      </c>
      <c r="D60" s="13">
        <f>1.96*mgmt!C272</f>
        <v>5.1547999999999997E-2</v>
      </c>
      <c r="E60" s="13">
        <f>mgmt!D272</f>
        <v>0.14699999999999999</v>
      </c>
      <c r="F60" s="13">
        <f>1.96*mgmt!E272</f>
        <v>4.6648000000000002E-2</v>
      </c>
      <c r="G60" s="13">
        <f>mgmt!F272</f>
        <v>0.1386</v>
      </c>
      <c r="H60" s="13">
        <f>1.96*mgmt!G272</f>
        <v>3.1556000000000001E-2</v>
      </c>
      <c r="I60" s="13">
        <f>mgmt!H272</f>
        <v>2.0400000000000001E-2</v>
      </c>
      <c r="J60" s="13">
        <f>1.96*mgmt!I272</f>
        <v>1.5288E-2</v>
      </c>
    </row>
    <row r="61" spans="2:10" x14ac:dyDescent="0.35">
      <c r="B61" s="7">
        <f>mgmt!$A273</f>
        <v>0.37319999999999998</v>
      </c>
      <c r="C61" s="13">
        <f>mgmt!B273</f>
        <v>0.69259999999999999</v>
      </c>
      <c r="D61" s="13">
        <f>1.96*mgmt!C273</f>
        <v>5.0568000000000002E-2</v>
      </c>
      <c r="E61" s="13">
        <f>mgmt!D273</f>
        <v>0.14779999999999999</v>
      </c>
      <c r="F61" s="13">
        <f>1.96*mgmt!E273</f>
        <v>4.5668E-2</v>
      </c>
      <c r="G61" s="13">
        <f>mgmt!F273</f>
        <v>0.1394</v>
      </c>
      <c r="H61" s="13">
        <f>1.96*mgmt!G273</f>
        <v>3.1164000000000001E-2</v>
      </c>
      <c r="I61" s="13">
        <f>mgmt!H273</f>
        <v>2.0199999999999999E-2</v>
      </c>
      <c r="J61" s="13">
        <f>1.96*mgmt!I273</f>
        <v>1.47E-2</v>
      </c>
    </row>
    <row r="62" spans="2:10" x14ac:dyDescent="0.35">
      <c r="B62" s="7">
        <f>mgmt!$A274</f>
        <v>0.37340000000000001</v>
      </c>
      <c r="C62" s="13">
        <f>mgmt!B274</f>
        <v>0.69259999999999999</v>
      </c>
      <c r="D62" s="13">
        <f>1.96*mgmt!C274</f>
        <v>5.0568000000000002E-2</v>
      </c>
      <c r="E62" s="13">
        <f>mgmt!D274</f>
        <v>0.14779999999999999</v>
      </c>
      <c r="F62" s="13">
        <f>1.96*mgmt!E274</f>
        <v>4.5668E-2</v>
      </c>
      <c r="G62" s="13">
        <f>mgmt!F274</f>
        <v>0.13950000000000001</v>
      </c>
      <c r="H62" s="13">
        <f>1.96*mgmt!G274</f>
        <v>3.1164000000000001E-2</v>
      </c>
      <c r="I62" s="13">
        <f>mgmt!H274</f>
        <v>2.0199999999999999E-2</v>
      </c>
      <c r="J62" s="13">
        <f>1.96*mgmt!I274</f>
        <v>1.47E-2</v>
      </c>
    </row>
    <row r="63" spans="2:10" x14ac:dyDescent="0.35">
      <c r="B63" s="7">
        <f>mgmt!$A275</f>
        <v>0.37659999999999999</v>
      </c>
      <c r="C63" s="13">
        <f>mgmt!B275</f>
        <v>0.69189999999999996</v>
      </c>
      <c r="D63" s="13">
        <f>1.96*mgmt!C275</f>
        <v>5.0175999999999998E-2</v>
      </c>
      <c r="E63" s="13">
        <f>mgmt!D275</f>
        <v>0.14810000000000001</v>
      </c>
      <c r="F63" s="13">
        <f>1.96*mgmt!E275</f>
        <v>4.5275999999999997E-2</v>
      </c>
      <c r="G63" s="13">
        <f>mgmt!F275</f>
        <v>0.1399</v>
      </c>
      <c r="H63" s="13">
        <f>1.96*mgmt!G275</f>
        <v>3.1164000000000001E-2</v>
      </c>
      <c r="I63" s="13">
        <f>mgmt!H275</f>
        <v>2.01E-2</v>
      </c>
      <c r="J63" s="13">
        <f>1.96*mgmt!I275</f>
        <v>1.4504E-2</v>
      </c>
    </row>
    <row r="64" spans="2:10" x14ac:dyDescent="0.35">
      <c r="B64" s="7">
        <f>mgmt!$A276</f>
        <v>0.38</v>
      </c>
      <c r="C64" s="13">
        <f>mgmt!B276</f>
        <v>0.69120000000000004</v>
      </c>
      <c r="D64" s="13">
        <f>1.96*mgmt!C276</f>
        <v>4.9588E-2</v>
      </c>
      <c r="E64" s="13">
        <f>mgmt!D276</f>
        <v>0.14849999999999999</v>
      </c>
      <c r="F64" s="13">
        <f>1.96*mgmt!E276</f>
        <v>4.4884E-2</v>
      </c>
      <c r="G64" s="13">
        <f>mgmt!F276</f>
        <v>0.14030000000000001</v>
      </c>
      <c r="H64" s="13">
        <f>1.96*mgmt!G276</f>
        <v>3.0968000000000002E-2</v>
      </c>
      <c r="I64" s="13">
        <f>mgmt!H276</f>
        <v>0.02</v>
      </c>
      <c r="J64" s="13">
        <f>1.96*mgmt!I276</f>
        <v>1.4308E-2</v>
      </c>
    </row>
    <row r="65" spans="2:10" x14ac:dyDescent="0.35">
      <c r="B65" s="7">
        <f>mgmt!$A277</f>
        <v>0.38319999999999999</v>
      </c>
      <c r="C65" s="13">
        <f>mgmt!B277</f>
        <v>0.69059999999999999</v>
      </c>
      <c r="D65" s="13">
        <f>1.96*mgmt!C277</f>
        <v>4.9196000000000004E-2</v>
      </c>
      <c r="E65" s="13">
        <f>mgmt!D277</f>
        <v>0.1489</v>
      </c>
      <c r="F65" s="13">
        <f>1.96*mgmt!E277</f>
        <v>4.4492000000000004E-2</v>
      </c>
      <c r="G65" s="13">
        <f>mgmt!F277</f>
        <v>0.14069999999999999</v>
      </c>
      <c r="H65" s="13">
        <f>1.96*mgmt!G277</f>
        <v>3.0771999999999997E-2</v>
      </c>
      <c r="I65" s="13">
        <f>mgmt!H277</f>
        <v>1.9900000000000001E-2</v>
      </c>
      <c r="J65" s="13">
        <f>1.96*mgmt!I277</f>
        <v>1.4112E-2</v>
      </c>
    </row>
    <row r="66" spans="2:10" x14ac:dyDescent="0.35">
      <c r="B66" s="7">
        <f>mgmt!$A278</f>
        <v>0.38340000000000002</v>
      </c>
      <c r="C66" s="13">
        <f>mgmt!B278</f>
        <v>0.6905</v>
      </c>
      <c r="D66" s="13">
        <f>1.96*mgmt!C278</f>
        <v>4.9196000000000004E-2</v>
      </c>
      <c r="E66" s="13">
        <f>mgmt!D278</f>
        <v>0.1489</v>
      </c>
      <c r="F66" s="13">
        <f>1.96*mgmt!E278</f>
        <v>4.4492000000000004E-2</v>
      </c>
      <c r="G66" s="13">
        <f>mgmt!F278</f>
        <v>0.14069999999999999</v>
      </c>
      <c r="H66" s="13">
        <f>1.96*mgmt!G278</f>
        <v>3.0771999999999997E-2</v>
      </c>
      <c r="I66" s="13">
        <f>mgmt!H278</f>
        <v>1.9900000000000001E-2</v>
      </c>
      <c r="J66" s="13">
        <f>1.96*mgmt!I278</f>
        <v>1.3916000000000001E-2</v>
      </c>
    </row>
    <row r="67" spans="2:10" x14ac:dyDescent="0.35">
      <c r="B67" s="7">
        <f>mgmt!$A279</f>
        <v>0.3866</v>
      </c>
      <c r="C67" s="13">
        <f>mgmt!B279</f>
        <v>0.68979999999999997</v>
      </c>
      <c r="D67" s="13">
        <f>1.96*mgmt!C279</f>
        <v>4.8803999999999993E-2</v>
      </c>
      <c r="E67" s="13">
        <f>mgmt!D279</f>
        <v>0.14929999999999999</v>
      </c>
      <c r="F67" s="13">
        <f>1.96*mgmt!E279</f>
        <v>4.41E-2</v>
      </c>
      <c r="G67" s="13">
        <f>mgmt!F279</f>
        <v>0.1411</v>
      </c>
      <c r="H67" s="13">
        <f>1.96*mgmt!G279</f>
        <v>3.0575999999999999E-2</v>
      </c>
      <c r="I67" s="13">
        <f>mgmt!H279</f>
        <v>1.9800000000000002E-2</v>
      </c>
      <c r="J67" s="13">
        <f>1.96*mgmt!I279</f>
        <v>1.372E-2</v>
      </c>
    </row>
    <row r="68" spans="2:10" x14ac:dyDescent="0.35">
      <c r="B68" s="7">
        <f>mgmt!$A280</f>
        <v>0.38679999999999998</v>
      </c>
      <c r="C68" s="13">
        <f>mgmt!B280</f>
        <v>0.68979999999999997</v>
      </c>
      <c r="D68" s="13">
        <f>1.96*mgmt!C280</f>
        <v>4.8803999999999993E-2</v>
      </c>
      <c r="E68" s="13">
        <f>mgmt!D280</f>
        <v>0.14929999999999999</v>
      </c>
      <c r="F68" s="13">
        <f>1.96*mgmt!E280</f>
        <v>4.41E-2</v>
      </c>
      <c r="G68" s="13">
        <f>mgmt!F280</f>
        <v>0.1411</v>
      </c>
      <c r="H68" s="13">
        <f>1.96*mgmt!G280</f>
        <v>3.0575999999999999E-2</v>
      </c>
      <c r="I68" s="13">
        <f>mgmt!H280</f>
        <v>1.9800000000000002E-2</v>
      </c>
      <c r="J68" s="13">
        <f>1.96*mgmt!I280</f>
        <v>1.372E-2</v>
      </c>
    </row>
    <row r="69" spans="2:10" x14ac:dyDescent="0.35">
      <c r="B69" s="7">
        <f>mgmt!$A281</f>
        <v>0.38979999999999998</v>
      </c>
      <c r="C69" s="13">
        <f>mgmt!B281</f>
        <v>0.68920000000000003</v>
      </c>
      <c r="D69" s="13">
        <f>1.96*mgmt!C281</f>
        <v>4.8216000000000002E-2</v>
      </c>
      <c r="E69" s="13">
        <f>mgmt!D281</f>
        <v>0.14960000000000001</v>
      </c>
      <c r="F69" s="13">
        <f>1.96*mgmt!E281</f>
        <v>4.3707999999999997E-2</v>
      </c>
      <c r="G69" s="13">
        <f>mgmt!F281</f>
        <v>0.14149999999999999</v>
      </c>
      <c r="H69" s="13">
        <f>1.96*mgmt!G281</f>
        <v>3.0380000000000001E-2</v>
      </c>
      <c r="I69" s="13">
        <f>mgmt!H281</f>
        <v>1.9699999999999999E-2</v>
      </c>
      <c r="J69" s="13">
        <f>1.96*mgmt!I281</f>
        <v>1.3524E-2</v>
      </c>
    </row>
    <row r="70" spans="2:10" x14ac:dyDescent="0.35">
      <c r="B70" s="7">
        <f>mgmt!$A282</f>
        <v>0.39</v>
      </c>
      <c r="C70" s="13">
        <f>mgmt!B282</f>
        <v>0.68910000000000005</v>
      </c>
      <c r="D70" s="13">
        <f>1.96*mgmt!C282</f>
        <v>4.8216000000000002E-2</v>
      </c>
      <c r="E70" s="13">
        <f>mgmt!D282</f>
        <v>0.1497</v>
      </c>
      <c r="F70" s="13">
        <f>1.96*mgmt!E282</f>
        <v>4.3707999999999997E-2</v>
      </c>
      <c r="G70" s="13">
        <f>mgmt!F282</f>
        <v>0.14149999999999999</v>
      </c>
      <c r="H70" s="13">
        <f>1.96*mgmt!G282</f>
        <v>3.0380000000000001E-2</v>
      </c>
      <c r="I70" s="13">
        <f>mgmt!H282</f>
        <v>1.9699999999999999E-2</v>
      </c>
      <c r="J70" s="13">
        <f>1.96*mgmt!I282</f>
        <v>1.3524E-2</v>
      </c>
    </row>
    <row r="71" spans="2:10" x14ac:dyDescent="0.35">
      <c r="B71" s="7">
        <f>mgmt!$A283</f>
        <v>0.39319999999999999</v>
      </c>
      <c r="C71" s="13">
        <f>mgmt!B283</f>
        <v>0.6885</v>
      </c>
      <c r="D71" s="13">
        <f>1.96*mgmt!C283</f>
        <v>4.7824000000000005E-2</v>
      </c>
      <c r="E71" s="13">
        <f>mgmt!D283</f>
        <v>0.15</v>
      </c>
      <c r="F71" s="13">
        <f>1.96*mgmt!E283</f>
        <v>4.3119999999999999E-2</v>
      </c>
      <c r="G71" s="13">
        <f>mgmt!F283</f>
        <v>0.14199999999999999</v>
      </c>
      <c r="H71" s="13">
        <f>1.96*mgmt!G283</f>
        <v>3.0380000000000001E-2</v>
      </c>
      <c r="I71" s="13">
        <f>mgmt!H283</f>
        <v>1.9599999999999999E-2</v>
      </c>
      <c r="J71" s="13">
        <f>1.96*mgmt!I283</f>
        <v>1.3328E-2</v>
      </c>
    </row>
    <row r="72" spans="2:10" x14ac:dyDescent="0.35">
      <c r="B72" s="7">
        <f>mgmt!$A284</f>
        <v>0.39340000000000003</v>
      </c>
      <c r="C72" s="13">
        <f>mgmt!B284</f>
        <v>0.68840000000000001</v>
      </c>
      <c r="D72" s="13">
        <f>1.96*mgmt!C284</f>
        <v>4.7824000000000005E-2</v>
      </c>
      <c r="E72" s="13">
        <f>mgmt!D284</f>
        <v>0.15</v>
      </c>
      <c r="F72" s="13">
        <f>1.96*mgmt!E284</f>
        <v>4.3119999999999999E-2</v>
      </c>
      <c r="G72" s="13">
        <f>mgmt!F284</f>
        <v>0.14199999999999999</v>
      </c>
      <c r="H72" s="13">
        <f>1.96*mgmt!G284</f>
        <v>3.0380000000000001E-2</v>
      </c>
      <c r="I72" s="13">
        <f>mgmt!H284</f>
        <v>1.9599999999999999E-2</v>
      </c>
      <c r="J72" s="13">
        <f>1.96*mgmt!I284</f>
        <v>1.3328E-2</v>
      </c>
    </row>
    <row r="73" spans="2:10" x14ac:dyDescent="0.35">
      <c r="B73" s="7">
        <f>mgmt!$A285</f>
        <v>0.39660000000000001</v>
      </c>
      <c r="C73" s="13">
        <f>mgmt!B285</f>
        <v>0.68779999999999997</v>
      </c>
      <c r="D73" s="13">
        <f>1.96*mgmt!C285</f>
        <v>4.7431999999999995E-2</v>
      </c>
      <c r="E73" s="13">
        <f>mgmt!D285</f>
        <v>0.15040000000000001</v>
      </c>
      <c r="F73" s="13">
        <f>1.96*mgmt!E285</f>
        <v>4.2728000000000002E-2</v>
      </c>
      <c r="G73" s="13">
        <f>mgmt!F285</f>
        <v>0.1424</v>
      </c>
      <c r="H73" s="13">
        <f>1.96*mgmt!G285</f>
        <v>3.0183999999999999E-2</v>
      </c>
      <c r="I73" s="13">
        <f>mgmt!H285</f>
        <v>1.95E-2</v>
      </c>
      <c r="J73" s="13">
        <f>1.96*mgmt!I285</f>
        <v>1.3132E-2</v>
      </c>
    </row>
    <row r="74" spans="2:10" x14ac:dyDescent="0.35">
      <c r="B74" s="7">
        <f>mgmt!$A286</f>
        <v>0.39679999999999999</v>
      </c>
      <c r="C74" s="13">
        <f>mgmt!B286</f>
        <v>0.68769999999999998</v>
      </c>
      <c r="D74" s="13">
        <f>1.96*mgmt!C286</f>
        <v>4.7431999999999995E-2</v>
      </c>
      <c r="E74" s="13">
        <f>mgmt!D286</f>
        <v>0.15040000000000001</v>
      </c>
      <c r="F74" s="13">
        <f>1.96*mgmt!E286</f>
        <v>4.2728000000000002E-2</v>
      </c>
      <c r="G74" s="13">
        <f>mgmt!F286</f>
        <v>0.1424</v>
      </c>
      <c r="H74" s="13">
        <f>1.96*mgmt!G286</f>
        <v>3.0183999999999999E-2</v>
      </c>
      <c r="I74" s="13">
        <f>mgmt!H286</f>
        <v>1.95E-2</v>
      </c>
      <c r="J74" s="13">
        <f>1.96*mgmt!I286</f>
        <v>1.3132E-2</v>
      </c>
    </row>
    <row r="75" spans="2:10" x14ac:dyDescent="0.35">
      <c r="B75" s="7">
        <f>mgmt!$A287</f>
        <v>0.39979999999999999</v>
      </c>
      <c r="C75" s="13">
        <f>mgmt!B287</f>
        <v>0.68710000000000004</v>
      </c>
      <c r="D75" s="13">
        <f>1.96*mgmt!C287</f>
        <v>4.7039999999999998E-2</v>
      </c>
      <c r="E75" s="13">
        <f>mgmt!D287</f>
        <v>0.15079999999999999</v>
      </c>
      <c r="F75" s="13">
        <f>1.96*mgmt!E287</f>
        <v>4.2335999999999999E-2</v>
      </c>
      <c r="G75" s="13">
        <f>mgmt!F287</f>
        <v>0.14280000000000001</v>
      </c>
      <c r="H75" s="13">
        <f>1.96*mgmt!G287</f>
        <v>2.9987999999999997E-2</v>
      </c>
      <c r="I75" s="13">
        <f>mgmt!H287</f>
        <v>1.9400000000000001E-2</v>
      </c>
      <c r="J75" s="13">
        <f>1.96*mgmt!I287</f>
        <v>1.2936E-2</v>
      </c>
    </row>
    <row r="76" spans="2:10" x14ac:dyDescent="0.35">
      <c r="B76" s="7">
        <f>mgmt!$A288</f>
        <v>0.4</v>
      </c>
      <c r="C76" s="13">
        <f>mgmt!B288</f>
        <v>0.68700000000000006</v>
      </c>
      <c r="D76" s="13">
        <f>1.96*mgmt!C288</f>
        <v>4.7039999999999998E-2</v>
      </c>
      <c r="E76" s="13">
        <f>mgmt!D288</f>
        <v>0.15079999999999999</v>
      </c>
      <c r="F76" s="13">
        <f>1.96*mgmt!E288</f>
        <v>4.2335999999999999E-2</v>
      </c>
      <c r="G76" s="13">
        <f>mgmt!F288</f>
        <v>0.14280000000000001</v>
      </c>
      <c r="H76" s="13">
        <f>1.96*mgmt!G288</f>
        <v>2.9987999999999997E-2</v>
      </c>
      <c r="I76" s="13">
        <f>mgmt!H288</f>
        <v>1.9400000000000001E-2</v>
      </c>
      <c r="J76" s="13">
        <f>1.96*mgmt!I288</f>
        <v>1.2936E-2</v>
      </c>
    </row>
    <row r="77" spans="2:10" x14ac:dyDescent="0.35">
      <c r="B77" s="7">
        <f>mgmt!$A289</f>
        <v>0.4002</v>
      </c>
      <c r="C77" s="13">
        <f>mgmt!B289</f>
        <v>0.68700000000000006</v>
      </c>
      <c r="D77" s="13">
        <f>1.96*mgmt!C289</f>
        <v>4.7039999999999998E-2</v>
      </c>
      <c r="E77" s="13">
        <f>mgmt!D289</f>
        <v>0.15079999999999999</v>
      </c>
      <c r="F77" s="13">
        <f>1.96*mgmt!E289</f>
        <v>4.2335999999999999E-2</v>
      </c>
      <c r="G77" s="13">
        <f>mgmt!F289</f>
        <v>0.14280000000000001</v>
      </c>
      <c r="H77" s="13">
        <f>1.96*mgmt!G289</f>
        <v>2.9987999999999997E-2</v>
      </c>
      <c r="I77" s="13">
        <f>mgmt!H289</f>
        <v>1.9400000000000001E-2</v>
      </c>
      <c r="J77" s="13">
        <f>1.96*mgmt!I289</f>
        <v>1.274E-2</v>
      </c>
    </row>
    <row r="78" spans="2:10" x14ac:dyDescent="0.35">
      <c r="B78" s="7">
        <f>mgmt!$A290</f>
        <v>0.41</v>
      </c>
      <c r="C78" s="13">
        <f>mgmt!B290</f>
        <v>0.68489999999999995</v>
      </c>
      <c r="D78" s="13">
        <f>1.96*mgmt!C290</f>
        <v>4.5668E-2</v>
      </c>
      <c r="E78" s="13">
        <f>mgmt!D290</f>
        <v>0.15190000000000001</v>
      </c>
      <c r="F78" s="13">
        <f>1.96*mgmt!E290</f>
        <v>4.1160000000000002E-2</v>
      </c>
      <c r="G78" s="13">
        <f>mgmt!F290</f>
        <v>0.14410000000000001</v>
      </c>
      <c r="H78" s="13">
        <f>1.96*mgmt!G290</f>
        <v>2.9596000000000001E-2</v>
      </c>
      <c r="I78" s="13">
        <f>mgmt!H290</f>
        <v>1.9099999999999999E-2</v>
      </c>
      <c r="J78" s="13">
        <f>1.96*mgmt!I290</f>
        <v>1.2152E-2</v>
      </c>
    </row>
    <row r="79" spans="2:10" x14ac:dyDescent="0.35">
      <c r="B79" s="7">
        <f>mgmt!$A291</f>
        <v>0.41320000000000001</v>
      </c>
      <c r="C79" s="13">
        <f>mgmt!B291</f>
        <v>0.68420000000000003</v>
      </c>
      <c r="D79" s="13">
        <f>1.96*mgmt!C291</f>
        <v>4.5275999999999997E-2</v>
      </c>
      <c r="E79" s="13">
        <f>mgmt!D291</f>
        <v>0.15229999999999999</v>
      </c>
      <c r="F79" s="13">
        <f>1.96*mgmt!E291</f>
        <v>4.0767999999999999E-2</v>
      </c>
      <c r="G79" s="13">
        <f>mgmt!F291</f>
        <v>0.14449999999999999</v>
      </c>
      <c r="H79" s="13">
        <f>1.96*mgmt!G291</f>
        <v>2.9399999999999999E-2</v>
      </c>
      <c r="I79" s="13">
        <f>mgmt!H291</f>
        <v>1.9E-2</v>
      </c>
      <c r="J79" s="13">
        <f>1.96*mgmt!I291</f>
        <v>1.1956000000000001E-2</v>
      </c>
    </row>
    <row r="80" spans="2:10" x14ac:dyDescent="0.35">
      <c r="B80" s="7">
        <f>mgmt!$A292</f>
        <v>0.41339999999999999</v>
      </c>
      <c r="C80" s="13">
        <f>mgmt!B292</f>
        <v>0.68420000000000003</v>
      </c>
      <c r="D80" s="13">
        <f>1.96*mgmt!C292</f>
        <v>4.5275999999999997E-2</v>
      </c>
      <c r="E80" s="13">
        <f>mgmt!D292</f>
        <v>0.15229999999999999</v>
      </c>
      <c r="F80" s="13">
        <f>1.96*mgmt!E292</f>
        <v>4.0767999999999999E-2</v>
      </c>
      <c r="G80" s="13">
        <f>mgmt!F292</f>
        <v>0.14449999999999999</v>
      </c>
      <c r="H80" s="13">
        <f>1.96*mgmt!G292</f>
        <v>2.9399999999999999E-2</v>
      </c>
      <c r="I80" s="13">
        <f>mgmt!H292</f>
        <v>1.9E-2</v>
      </c>
      <c r="J80" s="13">
        <f>1.96*mgmt!I292</f>
        <v>1.1956000000000001E-2</v>
      </c>
    </row>
    <row r="81" spans="2:10" x14ac:dyDescent="0.35">
      <c r="B81" s="7">
        <f>mgmt!$A293</f>
        <v>0.41660000000000003</v>
      </c>
      <c r="C81" s="13">
        <f>mgmt!B293</f>
        <v>0.6835</v>
      </c>
      <c r="D81" s="13">
        <f>1.96*mgmt!C293</f>
        <v>4.4884E-2</v>
      </c>
      <c r="E81" s="13">
        <f>mgmt!D293</f>
        <v>0.1527</v>
      </c>
      <c r="F81" s="13">
        <f>1.96*mgmt!E293</f>
        <v>4.0376000000000002E-2</v>
      </c>
      <c r="G81" s="13">
        <f>mgmt!F293</f>
        <v>0.1449</v>
      </c>
      <c r="H81" s="13">
        <f>1.96*mgmt!G293</f>
        <v>2.9399999999999999E-2</v>
      </c>
      <c r="I81" s="13">
        <f>mgmt!H293</f>
        <v>1.89E-2</v>
      </c>
      <c r="J81" s="13">
        <f>1.96*mgmt!I293</f>
        <v>1.176E-2</v>
      </c>
    </row>
    <row r="82" spans="2:10" x14ac:dyDescent="0.35">
      <c r="B82" s="7">
        <f>mgmt!$A294</f>
        <v>0.4234</v>
      </c>
      <c r="C82" s="13">
        <f>mgmt!B294</f>
        <v>0.68210000000000004</v>
      </c>
      <c r="D82" s="13">
        <f>1.96*mgmt!C294</f>
        <v>4.41E-2</v>
      </c>
      <c r="E82" s="13">
        <f>mgmt!D294</f>
        <v>0.1535</v>
      </c>
      <c r="F82" s="13">
        <f>1.96*mgmt!E294</f>
        <v>3.9591999999999995E-2</v>
      </c>
      <c r="G82" s="13">
        <f>mgmt!F294</f>
        <v>0.14580000000000001</v>
      </c>
      <c r="H82" s="13">
        <f>1.96*mgmt!G294</f>
        <v>2.9007999999999999E-2</v>
      </c>
      <c r="I82" s="13">
        <f>mgmt!H294</f>
        <v>1.8700000000000001E-2</v>
      </c>
      <c r="J82" s="13">
        <f>1.96*mgmt!I294</f>
        <v>1.1368E-2</v>
      </c>
    </row>
    <row r="83" spans="2:10" x14ac:dyDescent="0.35">
      <c r="B83" s="7">
        <f>mgmt!$A295</f>
        <v>0.42659999999999998</v>
      </c>
      <c r="C83" s="13">
        <f>mgmt!B295</f>
        <v>0.68140000000000001</v>
      </c>
      <c r="D83" s="13">
        <f>1.96*mgmt!C295</f>
        <v>4.3707999999999997E-2</v>
      </c>
      <c r="E83" s="13">
        <f>mgmt!D295</f>
        <v>0.15379999999999999</v>
      </c>
      <c r="F83" s="13">
        <f>1.96*mgmt!E295</f>
        <v>3.9199999999999999E-2</v>
      </c>
      <c r="G83" s="13">
        <f>mgmt!F295</f>
        <v>0.1462</v>
      </c>
      <c r="H83" s="13">
        <f>1.96*mgmt!G295</f>
        <v>2.9007999999999999E-2</v>
      </c>
      <c r="I83" s="13">
        <f>mgmt!H295</f>
        <v>1.8599999999999998E-2</v>
      </c>
      <c r="J83" s="13">
        <f>1.96*mgmt!I295</f>
        <v>1.1172E-2</v>
      </c>
    </row>
    <row r="84" spans="2:10" x14ac:dyDescent="0.35">
      <c r="B84" s="7">
        <f>mgmt!$A296</f>
        <v>0.42680000000000001</v>
      </c>
      <c r="C84" s="13">
        <f>mgmt!B296</f>
        <v>0.68130000000000002</v>
      </c>
      <c r="D84" s="13">
        <f>1.96*mgmt!C296</f>
        <v>4.3707999999999997E-2</v>
      </c>
      <c r="E84" s="13">
        <f>mgmt!D296</f>
        <v>0.15379999999999999</v>
      </c>
      <c r="F84" s="13">
        <f>1.96*mgmt!E296</f>
        <v>3.9199999999999999E-2</v>
      </c>
      <c r="G84" s="13">
        <f>mgmt!F296</f>
        <v>0.1462</v>
      </c>
      <c r="H84" s="13">
        <f>1.96*mgmt!G296</f>
        <v>2.9007999999999999E-2</v>
      </c>
      <c r="I84" s="13">
        <f>mgmt!H296</f>
        <v>1.8599999999999998E-2</v>
      </c>
      <c r="J84" s="13">
        <f>1.96*mgmt!I296</f>
        <v>1.1172E-2</v>
      </c>
    </row>
    <row r="85" spans="2:10" x14ac:dyDescent="0.35">
      <c r="B85" s="7">
        <f>mgmt!$A297</f>
        <v>0.43340000000000001</v>
      </c>
      <c r="C85" s="13">
        <f>mgmt!B297</f>
        <v>0.67989999999999995</v>
      </c>
      <c r="D85" s="13">
        <f>1.96*mgmt!C297</f>
        <v>4.3119999999999999E-2</v>
      </c>
      <c r="E85" s="13">
        <f>mgmt!D297</f>
        <v>0.15459999999999999</v>
      </c>
      <c r="F85" s="13">
        <f>1.96*mgmt!E297</f>
        <v>3.8415999999999999E-2</v>
      </c>
      <c r="G85" s="13">
        <f>mgmt!F297</f>
        <v>0.14710000000000001</v>
      </c>
      <c r="H85" s="13">
        <f>1.96*mgmt!G297</f>
        <v>2.8615999999999999E-2</v>
      </c>
      <c r="I85" s="13">
        <f>mgmt!H297</f>
        <v>1.84E-2</v>
      </c>
      <c r="J85" s="13">
        <f>1.96*mgmt!I297</f>
        <v>1.0976E-2</v>
      </c>
    </row>
    <row r="86" spans="2:10" x14ac:dyDescent="0.35">
      <c r="B86" s="7">
        <f>mgmt!$A298</f>
        <v>0.44</v>
      </c>
      <c r="C86" s="13">
        <f>mgmt!B298</f>
        <v>0.67849999999999999</v>
      </c>
      <c r="D86" s="13">
        <f>1.96*mgmt!C298</f>
        <v>4.2335999999999999E-2</v>
      </c>
      <c r="E86" s="13">
        <f>mgmt!D298</f>
        <v>0.15540000000000001</v>
      </c>
      <c r="F86" s="13">
        <f>1.96*mgmt!E298</f>
        <v>3.7828000000000001E-2</v>
      </c>
      <c r="G86" s="13">
        <f>mgmt!F298</f>
        <v>0.1479</v>
      </c>
      <c r="H86" s="13">
        <f>1.96*mgmt!G298</f>
        <v>2.8420000000000001E-2</v>
      </c>
      <c r="I86" s="13">
        <f>mgmt!H298</f>
        <v>1.8200000000000001E-2</v>
      </c>
      <c r="J86" s="13">
        <f>1.96*mgmt!I298</f>
        <v>1.0584E-2</v>
      </c>
    </row>
    <row r="87" spans="2:10" x14ac:dyDescent="0.35">
      <c r="B87" s="7">
        <f>mgmt!$A299</f>
        <v>0.44019999999999998</v>
      </c>
      <c r="C87" s="13">
        <f>mgmt!B299</f>
        <v>0.67849999999999999</v>
      </c>
      <c r="D87" s="13">
        <f>1.96*mgmt!C299</f>
        <v>4.2335999999999999E-2</v>
      </c>
      <c r="E87" s="13">
        <f>mgmt!D299</f>
        <v>0.15540000000000001</v>
      </c>
      <c r="F87" s="13">
        <f>1.96*mgmt!E299</f>
        <v>3.7828000000000001E-2</v>
      </c>
      <c r="G87" s="13">
        <f>mgmt!F299</f>
        <v>0.14799999999999999</v>
      </c>
      <c r="H87" s="13">
        <f>1.96*mgmt!G299</f>
        <v>2.8420000000000001E-2</v>
      </c>
      <c r="I87" s="13">
        <f>mgmt!H299</f>
        <v>1.8200000000000001E-2</v>
      </c>
      <c r="J87" s="13">
        <f>1.96*mgmt!I299</f>
        <v>1.0584E-2</v>
      </c>
    </row>
    <row r="88" spans="2:10" x14ac:dyDescent="0.35">
      <c r="B88" s="7">
        <f>mgmt!$A300</f>
        <v>0.44319999999999998</v>
      </c>
      <c r="C88" s="13">
        <f>mgmt!B300</f>
        <v>0.67779999999999996</v>
      </c>
      <c r="D88" s="13">
        <f>1.96*mgmt!C300</f>
        <v>4.2139999999999997E-2</v>
      </c>
      <c r="E88" s="13">
        <f>mgmt!D300</f>
        <v>0.15570000000000001</v>
      </c>
      <c r="F88" s="13">
        <f>1.96*mgmt!E300</f>
        <v>3.7435999999999997E-2</v>
      </c>
      <c r="G88" s="13">
        <f>mgmt!F300</f>
        <v>0.1484</v>
      </c>
      <c r="H88" s="13">
        <f>1.96*mgmt!G300</f>
        <v>2.8420000000000001E-2</v>
      </c>
      <c r="I88" s="13">
        <f>mgmt!H300</f>
        <v>1.8100000000000002E-2</v>
      </c>
      <c r="J88" s="13">
        <f>1.96*mgmt!I300</f>
        <v>1.0388E-2</v>
      </c>
    </row>
    <row r="89" spans="2:10" x14ac:dyDescent="0.35">
      <c r="B89" s="7">
        <f>mgmt!$A301</f>
        <v>0.44340000000000002</v>
      </c>
      <c r="C89" s="13">
        <f>mgmt!B301</f>
        <v>0.67779999999999996</v>
      </c>
      <c r="D89" s="13">
        <f>1.96*mgmt!C301</f>
        <v>4.1943999999999995E-2</v>
      </c>
      <c r="E89" s="13">
        <f>mgmt!D301</f>
        <v>0.15579999999999999</v>
      </c>
      <c r="F89" s="13">
        <f>1.96*mgmt!E301</f>
        <v>3.7435999999999997E-2</v>
      </c>
      <c r="G89" s="13">
        <f>mgmt!F301</f>
        <v>0.1484</v>
      </c>
      <c r="H89" s="13">
        <f>1.96*mgmt!G301</f>
        <v>2.8420000000000001E-2</v>
      </c>
      <c r="I89" s="13">
        <f>mgmt!H301</f>
        <v>1.8100000000000002E-2</v>
      </c>
      <c r="J89" s="13">
        <f>1.96*mgmt!I301</f>
        <v>1.0388E-2</v>
      </c>
    </row>
    <row r="90" spans="2:10" x14ac:dyDescent="0.35">
      <c r="B90" s="7">
        <f>mgmt!$A302</f>
        <v>0.4466</v>
      </c>
      <c r="C90" s="13">
        <f>mgmt!B302</f>
        <v>0.67710000000000004</v>
      </c>
      <c r="D90" s="13">
        <f>1.96*mgmt!C302</f>
        <v>4.1748E-2</v>
      </c>
      <c r="E90" s="13">
        <f>mgmt!D302</f>
        <v>0.15609999999999999</v>
      </c>
      <c r="F90" s="13">
        <f>1.96*mgmt!E302</f>
        <v>3.7044000000000001E-2</v>
      </c>
      <c r="G90" s="13">
        <f>mgmt!F302</f>
        <v>0.14879999999999999</v>
      </c>
      <c r="H90" s="13">
        <f>1.96*mgmt!G302</f>
        <v>2.8223999999999999E-2</v>
      </c>
      <c r="I90" s="13">
        <f>mgmt!H302</f>
        <v>1.7999999999999999E-2</v>
      </c>
      <c r="J90" s="13">
        <f>1.96*mgmt!I302</f>
        <v>1.0192E-2</v>
      </c>
    </row>
    <row r="91" spans="2:10" x14ac:dyDescent="0.35">
      <c r="B91" s="7">
        <f>mgmt!$A303</f>
        <v>0.44679999999999997</v>
      </c>
      <c r="C91" s="13">
        <f>mgmt!B303</f>
        <v>0.67700000000000005</v>
      </c>
      <c r="D91" s="13">
        <f>1.96*mgmt!C303</f>
        <v>4.1748E-2</v>
      </c>
      <c r="E91" s="13">
        <f>mgmt!D303</f>
        <v>0.15609999999999999</v>
      </c>
      <c r="F91" s="13">
        <f>1.96*mgmt!E303</f>
        <v>3.7044000000000001E-2</v>
      </c>
      <c r="G91" s="13">
        <f>mgmt!F303</f>
        <v>0.14879999999999999</v>
      </c>
      <c r="H91" s="13">
        <f>1.96*mgmt!G303</f>
        <v>2.8223999999999999E-2</v>
      </c>
      <c r="I91" s="13">
        <f>mgmt!H303</f>
        <v>1.7999999999999999E-2</v>
      </c>
      <c r="J91" s="13">
        <f>1.96*mgmt!I303</f>
        <v>1.0192E-2</v>
      </c>
    </row>
    <row r="92" spans="2:10" x14ac:dyDescent="0.35">
      <c r="B92" s="7">
        <f>mgmt!$A304</f>
        <v>0.45</v>
      </c>
      <c r="C92" s="13">
        <f>mgmt!B304</f>
        <v>0.67630000000000001</v>
      </c>
      <c r="D92" s="13">
        <f>1.96*mgmt!C304</f>
        <v>4.1356000000000004E-2</v>
      </c>
      <c r="E92" s="13">
        <f>mgmt!D304</f>
        <v>0.1565</v>
      </c>
      <c r="F92" s="13">
        <f>1.96*mgmt!E304</f>
        <v>3.6652000000000004E-2</v>
      </c>
      <c r="G92" s="13">
        <f>mgmt!F304</f>
        <v>0.1492</v>
      </c>
      <c r="H92" s="13">
        <f>1.96*mgmt!G304</f>
        <v>2.8223999999999999E-2</v>
      </c>
      <c r="I92" s="13">
        <f>mgmt!H304</f>
        <v>1.7899999999999999E-2</v>
      </c>
      <c r="J92" s="13">
        <f>1.96*mgmt!I304</f>
        <v>1.0192E-2</v>
      </c>
    </row>
    <row r="93" spans="2:10" x14ac:dyDescent="0.35">
      <c r="B93" s="7">
        <f>mgmt!$A305</f>
        <v>0.45019999999999999</v>
      </c>
      <c r="C93" s="13">
        <f>mgmt!B305</f>
        <v>0.67630000000000001</v>
      </c>
      <c r="D93" s="13">
        <f>1.96*mgmt!C305</f>
        <v>4.1356000000000004E-2</v>
      </c>
      <c r="E93" s="13">
        <f>mgmt!D305</f>
        <v>0.1565</v>
      </c>
      <c r="F93" s="13">
        <f>1.96*mgmt!E305</f>
        <v>3.6652000000000004E-2</v>
      </c>
      <c r="G93" s="13">
        <f>mgmt!F305</f>
        <v>0.14929999999999999</v>
      </c>
      <c r="H93" s="13">
        <f>1.96*mgmt!G305</f>
        <v>2.8223999999999999E-2</v>
      </c>
      <c r="I93" s="13">
        <f>mgmt!H305</f>
        <v>1.7899999999999999E-2</v>
      </c>
      <c r="J93" s="13">
        <f>1.96*mgmt!I305</f>
        <v>9.9959999999999997E-3</v>
      </c>
    </row>
    <row r="94" spans="2:10" x14ac:dyDescent="0.35">
      <c r="B94" s="7">
        <f>mgmt!$A306</f>
        <v>0.45319999999999999</v>
      </c>
      <c r="C94" s="13">
        <f>mgmt!B306</f>
        <v>0.67559999999999998</v>
      </c>
      <c r="D94" s="13">
        <f>1.96*mgmt!C306</f>
        <v>4.1160000000000002E-2</v>
      </c>
      <c r="E94" s="13">
        <f>mgmt!D306</f>
        <v>0.15690000000000001</v>
      </c>
      <c r="F94" s="13">
        <f>1.96*mgmt!E306</f>
        <v>3.6455999999999995E-2</v>
      </c>
      <c r="G94" s="13">
        <f>mgmt!F306</f>
        <v>0.1497</v>
      </c>
      <c r="H94" s="13">
        <f>1.96*mgmt!G306</f>
        <v>2.8028000000000001E-2</v>
      </c>
      <c r="I94" s="13">
        <f>mgmt!H306</f>
        <v>1.78E-2</v>
      </c>
      <c r="J94" s="13">
        <f>1.96*mgmt!I306</f>
        <v>9.9959999999999997E-3</v>
      </c>
    </row>
    <row r="95" spans="2:10" x14ac:dyDescent="0.35">
      <c r="B95" s="7">
        <f>mgmt!$A307</f>
        <v>0.45340000000000003</v>
      </c>
      <c r="C95" s="13">
        <f>mgmt!B307</f>
        <v>0.67559999999999998</v>
      </c>
      <c r="D95" s="13">
        <f>1.96*mgmt!C307</f>
        <v>4.1160000000000002E-2</v>
      </c>
      <c r="E95" s="13">
        <f>mgmt!D307</f>
        <v>0.15690000000000001</v>
      </c>
      <c r="F95" s="13">
        <f>1.96*mgmt!E307</f>
        <v>3.6455999999999995E-2</v>
      </c>
      <c r="G95" s="13">
        <f>mgmt!F307</f>
        <v>0.1497</v>
      </c>
      <c r="H95" s="13">
        <f>1.96*mgmt!G307</f>
        <v>2.8028000000000001E-2</v>
      </c>
      <c r="I95" s="13">
        <f>mgmt!H307</f>
        <v>1.78E-2</v>
      </c>
      <c r="J95" s="13">
        <f>1.96*mgmt!I307</f>
        <v>9.9959999999999997E-3</v>
      </c>
    </row>
    <row r="96" spans="2:10" x14ac:dyDescent="0.35">
      <c r="B96" s="7">
        <f>mgmt!$A308</f>
        <v>0.45979999999999999</v>
      </c>
      <c r="C96" s="13">
        <f>mgmt!B308</f>
        <v>0.67420000000000002</v>
      </c>
      <c r="D96" s="13">
        <f>1.96*mgmt!C308</f>
        <v>4.0571999999999997E-2</v>
      </c>
      <c r="E96" s="13">
        <f>mgmt!D308</f>
        <v>0.15770000000000001</v>
      </c>
      <c r="F96" s="13">
        <f>1.96*mgmt!E308</f>
        <v>3.5867999999999997E-2</v>
      </c>
      <c r="G96" s="13">
        <f>mgmt!F308</f>
        <v>0.15049999999999999</v>
      </c>
      <c r="H96" s="13">
        <f>1.96*mgmt!G308</f>
        <v>2.8028000000000001E-2</v>
      </c>
      <c r="I96" s="13">
        <f>mgmt!H308</f>
        <v>1.7600000000000001E-2</v>
      </c>
      <c r="J96" s="13">
        <f>1.96*mgmt!I308</f>
        <v>9.7999999999999997E-3</v>
      </c>
    </row>
    <row r="97" spans="2:10" x14ac:dyDescent="0.35">
      <c r="B97" s="7">
        <f>mgmt!$A309</f>
        <v>0.46</v>
      </c>
      <c r="C97" s="13">
        <f>mgmt!B309</f>
        <v>0.67410000000000003</v>
      </c>
      <c r="D97" s="13">
        <f>1.96*mgmt!C309</f>
        <v>4.0571999999999997E-2</v>
      </c>
      <c r="E97" s="13">
        <f>mgmt!D309</f>
        <v>0.15770000000000001</v>
      </c>
      <c r="F97" s="13">
        <f>1.96*mgmt!E309</f>
        <v>3.5867999999999997E-2</v>
      </c>
      <c r="G97" s="13">
        <f>mgmt!F309</f>
        <v>0.15049999999999999</v>
      </c>
      <c r="H97" s="13">
        <f>1.96*mgmt!G309</f>
        <v>2.8028000000000001E-2</v>
      </c>
      <c r="I97" s="13">
        <f>mgmt!H309</f>
        <v>1.7600000000000001E-2</v>
      </c>
      <c r="J97" s="13">
        <f>1.96*mgmt!I309</f>
        <v>9.6039999999999997E-3</v>
      </c>
    </row>
    <row r="98" spans="2:10" x14ac:dyDescent="0.35">
      <c r="B98" s="7">
        <f>mgmt!$A310</f>
        <v>0.46339999999999998</v>
      </c>
      <c r="C98" s="13">
        <f>mgmt!B310</f>
        <v>0.6734</v>
      </c>
      <c r="D98" s="13">
        <f>1.96*mgmt!C310</f>
        <v>4.018E-2</v>
      </c>
      <c r="E98" s="13">
        <f>mgmt!D310</f>
        <v>0.15809999999999999</v>
      </c>
      <c r="F98" s="13">
        <f>1.96*mgmt!E310</f>
        <v>3.5476000000000001E-2</v>
      </c>
      <c r="G98" s="13">
        <f>mgmt!F310</f>
        <v>0.151</v>
      </c>
      <c r="H98" s="13">
        <f>1.96*mgmt!G310</f>
        <v>2.7832000000000003E-2</v>
      </c>
      <c r="I98" s="13">
        <f>mgmt!H310</f>
        <v>1.7500000000000002E-2</v>
      </c>
      <c r="J98" s="13">
        <f>1.96*mgmt!I310</f>
        <v>9.6039999999999997E-3</v>
      </c>
    </row>
    <row r="99" spans="2:10" x14ac:dyDescent="0.35">
      <c r="B99" s="7">
        <f>mgmt!$A311</f>
        <v>0.46660000000000001</v>
      </c>
      <c r="C99" s="13">
        <f>mgmt!B311</f>
        <v>0.67269999999999996</v>
      </c>
      <c r="D99" s="13">
        <f>1.96*mgmt!C311</f>
        <v>3.9983999999999999E-2</v>
      </c>
      <c r="E99" s="13">
        <f>mgmt!D311</f>
        <v>0.15840000000000001</v>
      </c>
      <c r="F99" s="13">
        <f>1.96*mgmt!E311</f>
        <v>3.5279999999999999E-2</v>
      </c>
      <c r="G99" s="13">
        <f>mgmt!F311</f>
        <v>0.15140000000000001</v>
      </c>
      <c r="H99" s="13">
        <f>1.96*mgmt!G311</f>
        <v>2.7832000000000003E-2</v>
      </c>
      <c r="I99" s="13">
        <f>mgmt!H311</f>
        <v>1.7399999999999999E-2</v>
      </c>
      <c r="J99" s="13">
        <f>1.96*mgmt!I311</f>
        <v>9.4079999999999997E-3</v>
      </c>
    </row>
    <row r="100" spans="2:10" x14ac:dyDescent="0.35">
      <c r="B100" s="7">
        <f>mgmt!$A312</f>
        <v>0.46679999999999999</v>
      </c>
      <c r="C100" s="13">
        <f>mgmt!B312</f>
        <v>0.67269999999999996</v>
      </c>
      <c r="D100" s="13">
        <f>1.96*mgmt!C312</f>
        <v>3.9983999999999999E-2</v>
      </c>
      <c r="E100" s="13">
        <f>mgmt!D312</f>
        <v>0.1585</v>
      </c>
      <c r="F100" s="13">
        <f>1.96*mgmt!E312</f>
        <v>3.5279999999999999E-2</v>
      </c>
      <c r="G100" s="13">
        <f>mgmt!F312</f>
        <v>0.15140000000000001</v>
      </c>
      <c r="H100" s="13">
        <f>1.96*mgmt!G312</f>
        <v>2.7832000000000003E-2</v>
      </c>
      <c r="I100" s="13">
        <f>mgmt!H312</f>
        <v>1.7399999999999999E-2</v>
      </c>
      <c r="J100" s="13">
        <f>1.96*mgmt!I312</f>
        <v>9.4079999999999997E-3</v>
      </c>
    </row>
    <row r="101" spans="2:10" x14ac:dyDescent="0.35">
      <c r="B101" s="7">
        <f>mgmt!$A313</f>
        <v>0.4698</v>
      </c>
      <c r="C101" s="13">
        <f>mgmt!B313</f>
        <v>0.67200000000000004</v>
      </c>
      <c r="D101" s="13">
        <f>1.96*mgmt!C313</f>
        <v>3.9787999999999997E-2</v>
      </c>
      <c r="E101" s="13">
        <f>mgmt!D313</f>
        <v>0.1588</v>
      </c>
      <c r="F101" s="13">
        <f>1.96*mgmt!E313</f>
        <v>3.4888000000000002E-2</v>
      </c>
      <c r="G101" s="13">
        <f>mgmt!F313</f>
        <v>0.15179999999999999</v>
      </c>
      <c r="H101" s="13">
        <f>1.96*mgmt!G313</f>
        <v>2.7635999999999997E-2</v>
      </c>
      <c r="I101" s="13">
        <f>mgmt!H313</f>
        <v>1.7399999999999999E-2</v>
      </c>
      <c r="J101" s="13">
        <f>1.96*mgmt!I313</f>
        <v>9.4079999999999997E-3</v>
      </c>
    </row>
    <row r="102" spans="2:10" x14ac:dyDescent="0.35">
      <c r="B102" s="7">
        <f>mgmt!$A314</f>
        <v>0.47</v>
      </c>
      <c r="C102" s="13">
        <f>mgmt!B314</f>
        <v>0.67200000000000004</v>
      </c>
      <c r="D102" s="13">
        <f>1.96*mgmt!C314</f>
        <v>3.9787999999999997E-2</v>
      </c>
      <c r="E102" s="13">
        <f>mgmt!D314</f>
        <v>0.1588</v>
      </c>
      <c r="F102" s="13">
        <f>1.96*mgmt!E314</f>
        <v>3.4888000000000002E-2</v>
      </c>
      <c r="G102" s="13">
        <f>mgmt!F314</f>
        <v>0.15190000000000001</v>
      </c>
      <c r="H102" s="13">
        <f>1.96*mgmt!G314</f>
        <v>2.7635999999999997E-2</v>
      </c>
      <c r="I102" s="13">
        <f>mgmt!H314</f>
        <v>1.7399999999999999E-2</v>
      </c>
      <c r="J102" s="13">
        <f>1.96*mgmt!I314</f>
        <v>9.4079999999999997E-3</v>
      </c>
    </row>
    <row r="103" spans="2:10" x14ac:dyDescent="0.35">
      <c r="B103" s="7">
        <f>mgmt!$A315</f>
        <v>0.47660000000000002</v>
      </c>
      <c r="C103" s="13">
        <f>mgmt!B315</f>
        <v>0.67049999999999998</v>
      </c>
      <c r="D103" s="13">
        <f>1.96*mgmt!C315</f>
        <v>3.9199999999999999E-2</v>
      </c>
      <c r="E103" s="13">
        <f>mgmt!D315</f>
        <v>0.15959999999999999</v>
      </c>
      <c r="F103" s="13">
        <f>1.96*mgmt!E315</f>
        <v>3.4300000000000004E-2</v>
      </c>
      <c r="G103" s="13">
        <f>mgmt!F315</f>
        <v>0.1527</v>
      </c>
      <c r="H103" s="13">
        <f>1.96*mgmt!G315</f>
        <v>2.7635999999999997E-2</v>
      </c>
      <c r="I103" s="13">
        <f>mgmt!H315</f>
        <v>1.72E-2</v>
      </c>
      <c r="J103" s="13">
        <f>1.96*mgmt!I315</f>
        <v>9.2119999999999997E-3</v>
      </c>
    </row>
    <row r="104" spans="2:10" x14ac:dyDescent="0.35">
      <c r="B104" s="7">
        <f>mgmt!$A316</f>
        <v>0.4768</v>
      </c>
      <c r="C104" s="13">
        <f>mgmt!B316</f>
        <v>0.6704</v>
      </c>
      <c r="D104" s="13">
        <f>1.96*mgmt!C316</f>
        <v>3.9199999999999999E-2</v>
      </c>
      <c r="E104" s="13">
        <f>mgmt!D316</f>
        <v>0.15959999999999999</v>
      </c>
      <c r="F104" s="13">
        <f>1.96*mgmt!E316</f>
        <v>3.4300000000000004E-2</v>
      </c>
      <c r="G104" s="13">
        <f>mgmt!F316</f>
        <v>0.15279999999999999</v>
      </c>
      <c r="H104" s="13">
        <f>1.96*mgmt!G316</f>
        <v>2.7635999999999997E-2</v>
      </c>
      <c r="I104" s="13">
        <f>mgmt!H316</f>
        <v>1.72E-2</v>
      </c>
      <c r="J104" s="13">
        <f>1.96*mgmt!I316</f>
        <v>9.2119999999999997E-3</v>
      </c>
    </row>
    <row r="105" spans="2:10" x14ac:dyDescent="0.35">
      <c r="B105" s="7">
        <f>mgmt!$A317</f>
        <v>0.48</v>
      </c>
      <c r="C105" s="13">
        <f>mgmt!B317</f>
        <v>0.66969999999999996</v>
      </c>
      <c r="D105" s="13">
        <f>1.96*mgmt!C317</f>
        <v>3.9004000000000004E-2</v>
      </c>
      <c r="E105" s="13">
        <f>mgmt!D317</f>
        <v>0.16</v>
      </c>
      <c r="F105" s="13">
        <f>1.96*mgmt!E317</f>
        <v>3.4103999999999995E-2</v>
      </c>
      <c r="G105" s="13">
        <f>mgmt!F317</f>
        <v>0.1532</v>
      </c>
      <c r="H105" s="13">
        <f>1.96*mgmt!G317</f>
        <v>2.7635999999999997E-2</v>
      </c>
      <c r="I105" s="13">
        <f>mgmt!H317</f>
        <v>1.7100000000000001E-2</v>
      </c>
      <c r="J105" s="13">
        <f>1.96*mgmt!I317</f>
        <v>9.0159999999999997E-3</v>
      </c>
    </row>
    <row r="106" spans="2:10" x14ac:dyDescent="0.35">
      <c r="B106" s="7">
        <f>mgmt!$A318</f>
        <v>0.48020000000000002</v>
      </c>
      <c r="C106" s="13">
        <f>mgmt!B318</f>
        <v>0.66969999999999996</v>
      </c>
      <c r="D106" s="13">
        <f>1.96*mgmt!C318</f>
        <v>3.9004000000000004E-2</v>
      </c>
      <c r="E106" s="13">
        <f>mgmt!D318</f>
        <v>0.16</v>
      </c>
      <c r="F106" s="13">
        <f>1.96*mgmt!E318</f>
        <v>3.4103999999999995E-2</v>
      </c>
      <c r="G106" s="13">
        <f>mgmt!F318</f>
        <v>0.1532</v>
      </c>
      <c r="H106" s="13">
        <f>1.96*mgmt!G318</f>
        <v>2.7439999999999999E-2</v>
      </c>
      <c r="I106" s="13">
        <f>mgmt!H318</f>
        <v>1.7100000000000001E-2</v>
      </c>
      <c r="J106" s="13">
        <f>1.96*mgmt!I318</f>
        <v>9.0159999999999997E-3</v>
      </c>
    </row>
    <row r="107" spans="2:10" x14ac:dyDescent="0.35">
      <c r="B107" s="7">
        <f>mgmt!$A319</f>
        <v>0.48320000000000002</v>
      </c>
      <c r="C107" s="13">
        <f>mgmt!B319</f>
        <v>0.66900000000000004</v>
      </c>
      <c r="D107" s="13">
        <f>1.96*mgmt!C319</f>
        <v>3.8808000000000002E-2</v>
      </c>
      <c r="E107" s="13">
        <f>mgmt!D319</f>
        <v>0.16039999999999999</v>
      </c>
      <c r="F107" s="13">
        <f>1.96*mgmt!E319</f>
        <v>3.3908000000000001E-2</v>
      </c>
      <c r="G107" s="13">
        <f>mgmt!F319</f>
        <v>0.15359999999999999</v>
      </c>
      <c r="H107" s="13">
        <f>1.96*mgmt!G319</f>
        <v>2.7439999999999999E-2</v>
      </c>
      <c r="I107" s="13">
        <f>mgmt!H319</f>
        <v>1.7000000000000001E-2</v>
      </c>
      <c r="J107" s="13">
        <f>1.96*mgmt!I319</f>
        <v>9.0159999999999997E-3</v>
      </c>
    </row>
    <row r="108" spans="2:10" x14ac:dyDescent="0.35">
      <c r="B108" s="7">
        <f>mgmt!$A320</f>
        <v>0.4834</v>
      </c>
      <c r="C108" s="13">
        <f>mgmt!B320</f>
        <v>0.66900000000000004</v>
      </c>
      <c r="D108" s="13">
        <f>1.96*mgmt!C320</f>
        <v>3.8808000000000002E-2</v>
      </c>
      <c r="E108" s="13">
        <f>mgmt!D320</f>
        <v>0.16039999999999999</v>
      </c>
      <c r="F108" s="13">
        <f>1.96*mgmt!E320</f>
        <v>3.3908000000000001E-2</v>
      </c>
      <c r="G108" s="13">
        <f>mgmt!F320</f>
        <v>0.15359999999999999</v>
      </c>
      <c r="H108" s="13">
        <f>1.96*mgmt!G320</f>
        <v>2.7439999999999999E-2</v>
      </c>
      <c r="I108" s="13">
        <f>mgmt!H320</f>
        <v>1.7000000000000001E-2</v>
      </c>
      <c r="J108" s="13">
        <f>1.96*mgmt!I320</f>
        <v>9.0159999999999997E-3</v>
      </c>
    </row>
    <row r="109" spans="2:10" x14ac:dyDescent="0.35">
      <c r="B109" s="7">
        <f>mgmt!$A321</f>
        <v>0.49</v>
      </c>
      <c r="C109" s="13">
        <f>mgmt!B321</f>
        <v>0.66749999999999998</v>
      </c>
      <c r="D109" s="13">
        <f>1.96*mgmt!C321</f>
        <v>3.8415999999999999E-2</v>
      </c>
      <c r="E109" s="13">
        <f>mgmt!D321</f>
        <v>0.16120000000000001</v>
      </c>
      <c r="F109" s="13">
        <f>1.96*mgmt!E321</f>
        <v>3.3515999999999997E-2</v>
      </c>
      <c r="G109" s="13">
        <f>mgmt!F321</f>
        <v>0.1545</v>
      </c>
      <c r="H109" s="13">
        <f>1.96*mgmt!G321</f>
        <v>2.7439999999999999E-2</v>
      </c>
      <c r="I109" s="13">
        <f>mgmt!H321</f>
        <v>1.6799999999999999E-2</v>
      </c>
      <c r="J109" s="13">
        <f>1.96*mgmt!I321</f>
        <v>8.8199999999999997E-3</v>
      </c>
    </row>
    <row r="110" spans="2:10" x14ac:dyDescent="0.35">
      <c r="B110" s="7">
        <f>mgmt!$A322</f>
        <v>0.49320000000000003</v>
      </c>
      <c r="C110" s="13">
        <f>mgmt!B322</f>
        <v>0.66679999999999995</v>
      </c>
      <c r="D110" s="13">
        <f>1.96*mgmt!C322</f>
        <v>3.8219999999999997E-2</v>
      </c>
      <c r="E110" s="13">
        <f>mgmt!D322</f>
        <v>0.1615</v>
      </c>
      <c r="F110" s="13">
        <f>1.96*mgmt!E322</f>
        <v>3.3320000000000002E-2</v>
      </c>
      <c r="G110" s="13">
        <f>mgmt!F322</f>
        <v>0.15490000000000001</v>
      </c>
      <c r="H110" s="13">
        <f>1.96*mgmt!G322</f>
        <v>2.7439999999999999E-2</v>
      </c>
      <c r="I110" s="13">
        <f>mgmt!H322</f>
        <v>1.67E-2</v>
      </c>
      <c r="J110" s="13">
        <f>1.96*mgmt!I322</f>
        <v>8.8199999999999997E-3</v>
      </c>
    </row>
    <row r="111" spans="2:10" x14ac:dyDescent="0.35">
      <c r="B111" s="7">
        <f>mgmt!$A323</f>
        <v>0.49340000000000001</v>
      </c>
      <c r="C111" s="13">
        <f>mgmt!B323</f>
        <v>0.66679999999999995</v>
      </c>
      <c r="D111" s="13">
        <f>1.96*mgmt!C323</f>
        <v>3.8219999999999997E-2</v>
      </c>
      <c r="E111" s="13">
        <f>mgmt!D323</f>
        <v>0.16159999999999999</v>
      </c>
      <c r="F111" s="13">
        <f>1.96*mgmt!E323</f>
        <v>3.3320000000000002E-2</v>
      </c>
      <c r="G111" s="13">
        <f>mgmt!F323</f>
        <v>0.155</v>
      </c>
      <c r="H111" s="13">
        <f>1.96*mgmt!G323</f>
        <v>2.7439999999999999E-2</v>
      </c>
      <c r="I111" s="13">
        <f>mgmt!H323</f>
        <v>1.67E-2</v>
      </c>
      <c r="J111" s="13">
        <f>1.96*mgmt!I323</f>
        <v>8.8199999999999997E-3</v>
      </c>
    </row>
    <row r="112" spans="2:10" x14ac:dyDescent="0.35">
      <c r="B112" s="7">
        <f>mgmt!$A324</f>
        <v>0.49659999999999999</v>
      </c>
      <c r="C112" s="13">
        <f>mgmt!B324</f>
        <v>0.66600000000000004</v>
      </c>
      <c r="D112" s="13">
        <f>1.96*mgmt!C324</f>
        <v>3.8024000000000002E-2</v>
      </c>
      <c r="E112" s="13">
        <f>mgmt!D324</f>
        <v>0.16189999999999999</v>
      </c>
      <c r="F112" s="13">
        <f>1.96*mgmt!E324</f>
        <v>3.3123999999999994E-2</v>
      </c>
      <c r="G112" s="13">
        <f>mgmt!F324</f>
        <v>0.15540000000000001</v>
      </c>
      <c r="H112" s="13">
        <f>1.96*mgmt!G324</f>
        <v>2.7439999999999999E-2</v>
      </c>
      <c r="I112" s="13">
        <f>mgmt!H324</f>
        <v>1.66E-2</v>
      </c>
      <c r="J112" s="13">
        <f>1.96*mgmt!I324</f>
        <v>8.6239999999999997E-3</v>
      </c>
    </row>
    <row r="113" spans="2:10" x14ac:dyDescent="0.35">
      <c r="B113" s="7">
        <f>mgmt!$A325</f>
        <v>0.49680000000000002</v>
      </c>
      <c r="C113" s="13">
        <f>mgmt!B325</f>
        <v>0.66600000000000004</v>
      </c>
      <c r="D113" s="13">
        <f>1.96*mgmt!C325</f>
        <v>3.8024000000000002E-2</v>
      </c>
      <c r="E113" s="13">
        <f>mgmt!D325</f>
        <v>0.16200000000000001</v>
      </c>
      <c r="F113" s="13">
        <f>1.96*mgmt!E325</f>
        <v>3.3123999999999994E-2</v>
      </c>
      <c r="G113" s="13">
        <f>mgmt!F325</f>
        <v>0.15540000000000001</v>
      </c>
      <c r="H113" s="13">
        <f>1.96*mgmt!G325</f>
        <v>2.7439999999999999E-2</v>
      </c>
      <c r="I113" s="13">
        <f>mgmt!H325</f>
        <v>1.66E-2</v>
      </c>
      <c r="J113" s="13">
        <f>1.96*mgmt!I325</f>
        <v>8.6239999999999997E-3</v>
      </c>
    </row>
    <row r="114" spans="2:10" x14ac:dyDescent="0.35">
      <c r="B114" s="7">
        <f>mgmt!$A326</f>
        <v>0.5</v>
      </c>
      <c r="C114" s="13">
        <f>mgmt!B326</f>
        <v>0.6653</v>
      </c>
      <c r="D114" s="13">
        <f>1.96*mgmt!C326</f>
        <v>3.8024000000000002E-2</v>
      </c>
      <c r="E114" s="13">
        <f>mgmt!D326</f>
        <v>0.1623</v>
      </c>
      <c r="F114" s="13">
        <f>1.96*mgmt!E326</f>
        <v>3.2927999999999999E-2</v>
      </c>
      <c r="G114" s="13">
        <f>mgmt!F326</f>
        <v>0.15579999999999999</v>
      </c>
      <c r="H114" s="13">
        <f>1.96*mgmt!G326</f>
        <v>2.7439999999999999E-2</v>
      </c>
      <c r="I114" s="13">
        <f>mgmt!H326</f>
        <v>1.6500000000000001E-2</v>
      </c>
      <c r="J114" s="13">
        <f>1.96*mgmt!I326</f>
        <v>8.6239999999999997E-3</v>
      </c>
    </row>
    <row r="115" spans="2:10" x14ac:dyDescent="0.35">
      <c r="B115" s="7">
        <f>mgmt!$A327</f>
        <v>0.50660000000000005</v>
      </c>
      <c r="C115" s="13">
        <f>mgmt!B327</f>
        <v>0.66379999999999995</v>
      </c>
      <c r="D115" s="13">
        <f>1.96*mgmt!C327</f>
        <v>3.7828000000000001E-2</v>
      </c>
      <c r="E115" s="13">
        <f>mgmt!D327</f>
        <v>0.16309999999999999</v>
      </c>
      <c r="F115" s="13">
        <f>1.96*mgmt!E327</f>
        <v>3.2536000000000002E-2</v>
      </c>
      <c r="G115" s="13">
        <f>mgmt!F327</f>
        <v>0.15670000000000001</v>
      </c>
      <c r="H115" s="13">
        <f>1.96*mgmt!G327</f>
        <v>2.7243999999999997E-2</v>
      </c>
      <c r="I115" s="13">
        <f>mgmt!H327</f>
        <v>1.6400000000000001E-2</v>
      </c>
      <c r="J115" s="13">
        <f>1.96*mgmt!I327</f>
        <v>8.4279999999999997E-3</v>
      </c>
    </row>
    <row r="116" spans="2:10" x14ac:dyDescent="0.35">
      <c r="B116" s="7">
        <f>mgmt!$A328</f>
        <v>0.50680000000000003</v>
      </c>
      <c r="C116" s="13">
        <f>mgmt!B328</f>
        <v>0.66369999999999996</v>
      </c>
      <c r="D116" s="13">
        <f>1.96*mgmt!C328</f>
        <v>3.7631999999999999E-2</v>
      </c>
      <c r="E116" s="13">
        <f>mgmt!D328</f>
        <v>0.16309999999999999</v>
      </c>
      <c r="F116" s="13">
        <f>1.96*mgmt!E328</f>
        <v>3.2536000000000002E-2</v>
      </c>
      <c r="G116" s="13">
        <f>mgmt!F328</f>
        <v>0.15679999999999999</v>
      </c>
      <c r="H116" s="13">
        <f>1.96*mgmt!G328</f>
        <v>2.7243999999999997E-2</v>
      </c>
      <c r="I116" s="13">
        <f>mgmt!H328</f>
        <v>1.6400000000000001E-2</v>
      </c>
      <c r="J116" s="13">
        <f>1.96*mgmt!I328</f>
        <v>8.4279999999999997E-3</v>
      </c>
    </row>
    <row r="117" spans="2:10" x14ac:dyDescent="0.35">
      <c r="B117" s="7">
        <f>mgmt!$A329</f>
        <v>0.51</v>
      </c>
      <c r="C117" s="13">
        <f>mgmt!B329</f>
        <v>0.66300000000000003</v>
      </c>
      <c r="D117" s="13">
        <f>1.96*mgmt!C329</f>
        <v>3.7631999999999999E-2</v>
      </c>
      <c r="E117" s="13">
        <f>mgmt!D329</f>
        <v>0.16350000000000001</v>
      </c>
      <c r="F117" s="13">
        <f>1.96*mgmt!E329</f>
        <v>3.2340000000000001E-2</v>
      </c>
      <c r="G117" s="13">
        <f>mgmt!F329</f>
        <v>0.15720000000000001</v>
      </c>
      <c r="H117" s="13">
        <f>1.96*mgmt!G329</f>
        <v>2.7243999999999997E-2</v>
      </c>
      <c r="I117" s="13">
        <f>mgmt!H329</f>
        <v>1.6299999999999999E-2</v>
      </c>
      <c r="J117" s="13">
        <f>1.96*mgmt!I329</f>
        <v>8.4279999999999997E-3</v>
      </c>
    </row>
    <row r="118" spans="2:10" x14ac:dyDescent="0.35">
      <c r="B118" s="7">
        <f>mgmt!$A330</f>
        <v>0.51659999999999995</v>
      </c>
      <c r="C118" s="13">
        <f>mgmt!B330</f>
        <v>0.66149999999999998</v>
      </c>
      <c r="D118" s="13">
        <f>1.96*mgmt!C330</f>
        <v>3.7435999999999997E-2</v>
      </c>
      <c r="E118" s="13">
        <f>mgmt!D330</f>
        <v>0.1643</v>
      </c>
      <c r="F118" s="13">
        <f>1.96*mgmt!E330</f>
        <v>3.2143999999999999E-2</v>
      </c>
      <c r="G118" s="13">
        <f>mgmt!F330</f>
        <v>0.15809999999999999</v>
      </c>
      <c r="H118" s="13">
        <f>1.96*mgmt!G330</f>
        <v>2.7439999999999999E-2</v>
      </c>
      <c r="I118" s="13">
        <f>mgmt!H330</f>
        <v>1.61E-2</v>
      </c>
      <c r="J118" s="13">
        <f>1.96*mgmt!I330</f>
        <v>8.4279999999999997E-3</v>
      </c>
    </row>
    <row r="119" spans="2:10" x14ac:dyDescent="0.35">
      <c r="B119" s="7">
        <f>mgmt!$A331</f>
        <v>0.51680000000000004</v>
      </c>
      <c r="C119" s="13">
        <f>mgmt!B331</f>
        <v>0.66149999999999998</v>
      </c>
      <c r="D119" s="13">
        <f>1.96*mgmt!C331</f>
        <v>3.7435999999999997E-2</v>
      </c>
      <c r="E119" s="13">
        <f>mgmt!D331</f>
        <v>0.1643</v>
      </c>
      <c r="F119" s="13">
        <f>1.96*mgmt!E331</f>
        <v>3.2143999999999999E-2</v>
      </c>
      <c r="G119" s="13">
        <f>mgmt!F331</f>
        <v>0.15809999999999999</v>
      </c>
      <c r="H119" s="13">
        <f>1.96*mgmt!G331</f>
        <v>2.7439999999999999E-2</v>
      </c>
      <c r="I119" s="13">
        <f>mgmt!H331</f>
        <v>1.61E-2</v>
      </c>
      <c r="J119" s="13">
        <f>1.96*mgmt!I331</f>
        <v>8.4279999999999997E-3</v>
      </c>
    </row>
    <row r="120" spans="2:10" x14ac:dyDescent="0.35">
      <c r="B120" s="7">
        <f>mgmt!$A332</f>
        <v>0.52</v>
      </c>
      <c r="C120" s="13">
        <f>mgmt!B332</f>
        <v>0.66080000000000005</v>
      </c>
      <c r="D120" s="13">
        <f>1.96*mgmt!C332</f>
        <v>3.7435999999999997E-2</v>
      </c>
      <c r="E120" s="13">
        <f>mgmt!D332</f>
        <v>0.16470000000000001</v>
      </c>
      <c r="F120" s="13">
        <f>1.96*mgmt!E332</f>
        <v>3.2143999999999999E-2</v>
      </c>
      <c r="G120" s="13">
        <f>mgmt!F332</f>
        <v>0.1585</v>
      </c>
      <c r="H120" s="13">
        <f>1.96*mgmt!G332</f>
        <v>2.7439999999999999E-2</v>
      </c>
      <c r="I120" s="13">
        <f>mgmt!H332</f>
        <v>1.6E-2</v>
      </c>
      <c r="J120" s="13">
        <f>1.96*mgmt!I332</f>
        <v>8.4279999999999997E-3</v>
      </c>
    </row>
    <row r="121" spans="2:10" x14ac:dyDescent="0.35">
      <c r="B121" s="7">
        <f>mgmt!$A333</f>
        <v>0.5202</v>
      </c>
      <c r="C121" s="13">
        <f>mgmt!B333</f>
        <v>0.66069999999999995</v>
      </c>
      <c r="D121" s="13">
        <f>1.96*mgmt!C333</f>
        <v>3.7435999999999997E-2</v>
      </c>
      <c r="E121" s="13">
        <f>mgmt!D333</f>
        <v>0.16470000000000001</v>
      </c>
      <c r="F121" s="13">
        <f>1.96*mgmt!E333</f>
        <v>3.2143999999999999E-2</v>
      </c>
      <c r="G121" s="13">
        <f>mgmt!F333</f>
        <v>0.15859999999999999</v>
      </c>
      <c r="H121" s="13">
        <f>1.96*mgmt!G333</f>
        <v>2.7439999999999999E-2</v>
      </c>
      <c r="I121" s="13">
        <f>mgmt!H333</f>
        <v>1.6E-2</v>
      </c>
      <c r="J121" s="13">
        <f>1.96*mgmt!I333</f>
        <v>8.4279999999999997E-3</v>
      </c>
    </row>
    <row r="122" spans="2:10" x14ac:dyDescent="0.35">
      <c r="B122" s="7">
        <f>mgmt!$A334</f>
        <v>0.52339999999999998</v>
      </c>
      <c r="C122" s="13">
        <f>mgmt!B334</f>
        <v>0.66</v>
      </c>
      <c r="D122" s="13">
        <f>1.96*mgmt!C334</f>
        <v>3.7435999999999997E-2</v>
      </c>
      <c r="E122" s="13">
        <f>mgmt!D334</f>
        <v>0.1651</v>
      </c>
      <c r="F122" s="13">
        <f>1.96*mgmt!E334</f>
        <v>3.1947999999999997E-2</v>
      </c>
      <c r="G122" s="13">
        <f>mgmt!F334</f>
        <v>0.159</v>
      </c>
      <c r="H122" s="13">
        <f>1.96*mgmt!G334</f>
        <v>2.7439999999999999E-2</v>
      </c>
      <c r="I122" s="13">
        <f>mgmt!H334</f>
        <v>1.5900000000000001E-2</v>
      </c>
      <c r="J122" s="13">
        <f>1.96*mgmt!I334</f>
        <v>8.4279999999999997E-3</v>
      </c>
    </row>
    <row r="123" spans="2:10" x14ac:dyDescent="0.35">
      <c r="B123" s="7">
        <f>mgmt!$A335</f>
        <v>0.52659999999999996</v>
      </c>
      <c r="C123" s="13">
        <f>mgmt!B335</f>
        <v>0.6593</v>
      </c>
      <c r="D123" s="13">
        <f>1.96*mgmt!C335</f>
        <v>3.7435999999999997E-2</v>
      </c>
      <c r="E123" s="13">
        <f>mgmt!D335</f>
        <v>0.16550000000000001</v>
      </c>
      <c r="F123" s="13">
        <f>1.96*mgmt!E335</f>
        <v>3.1947999999999997E-2</v>
      </c>
      <c r="G123" s="13">
        <f>mgmt!F335</f>
        <v>0.15939999999999999</v>
      </c>
      <c r="H123" s="13">
        <f>1.96*mgmt!G335</f>
        <v>2.7439999999999999E-2</v>
      </c>
      <c r="I123" s="13">
        <f>mgmt!H335</f>
        <v>1.5900000000000001E-2</v>
      </c>
      <c r="J123" s="13">
        <f>1.96*mgmt!I335</f>
        <v>8.2319999999999997E-3</v>
      </c>
    </row>
    <row r="124" spans="2:10" x14ac:dyDescent="0.35">
      <c r="B124" s="7">
        <f>mgmt!$A336</f>
        <v>0.52680000000000005</v>
      </c>
      <c r="C124" s="13">
        <f>mgmt!B336</f>
        <v>0.65920000000000001</v>
      </c>
      <c r="D124" s="13">
        <f>1.96*mgmt!C336</f>
        <v>3.7435999999999997E-2</v>
      </c>
      <c r="E124" s="13">
        <f>mgmt!D336</f>
        <v>0.16550000000000001</v>
      </c>
      <c r="F124" s="13">
        <f>1.96*mgmt!E336</f>
        <v>3.1947999999999997E-2</v>
      </c>
      <c r="G124" s="13">
        <f>mgmt!F336</f>
        <v>0.15939999999999999</v>
      </c>
      <c r="H124" s="13">
        <f>1.96*mgmt!G336</f>
        <v>2.7439999999999999E-2</v>
      </c>
      <c r="I124" s="13">
        <f>mgmt!H336</f>
        <v>1.5900000000000001E-2</v>
      </c>
      <c r="J124" s="13">
        <f>1.96*mgmt!I336</f>
        <v>8.2319999999999997E-3</v>
      </c>
    </row>
    <row r="125" spans="2:10" x14ac:dyDescent="0.35">
      <c r="B125" s="7">
        <f>mgmt!$A337</f>
        <v>0.53</v>
      </c>
      <c r="C125" s="13">
        <f>mgmt!B337</f>
        <v>0.65849999999999997</v>
      </c>
      <c r="D125" s="13">
        <f>1.96*mgmt!C337</f>
        <v>3.7435999999999997E-2</v>
      </c>
      <c r="E125" s="13">
        <f>mgmt!D337</f>
        <v>0.16589999999999999</v>
      </c>
      <c r="F125" s="13">
        <f>1.96*mgmt!E337</f>
        <v>3.1947999999999997E-2</v>
      </c>
      <c r="G125" s="13">
        <f>mgmt!F337</f>
        <v>0.15989999999999999</v>
      </c>
      <c r="H125" s="13">
        <f>1.96*mgmt!G337</f>
        <v>2.7439999999999999E-2</v>
      </c>
      <c r="I125" s="13">
        <f>mgmt!H337</f>
        <v>1.5800000000000002E-2</v>
      </c>
      <c r="J125" s="13">
        <f>1.96*mgmt!I337</f>
        <v>8.2319999999999997E-3</v>
      </c>
    </row>
    <row r="126" spans="2:10" x14ac:dyDescent="0.35">
      <c r="B126" s="7">
        <f>mgmt!$A338</f>
        <v>0.53320000000000001</v>
      </c>
      <c r="C126" s="13">
        <f>mgmt!B338</f>
        <v>0.65769999999999995</v>
      </c>
      <c r="D126" s="13">
        <f>1.96*mgmt!C338</f>
        <v>3.7435999999999997E-2</v>
      </c>
      <c r="E126" s="13">
        <f>mgmt!D338</f>
        <v>0.16619999999999999</v>
      </c>
      <c r="F126" s="13">
        <f>1.96*mgmt!E338</f>
        <v>3.1947999999999997E-2</v>
      </c>
      <c r="G126" s="13">
        <f>mgmt!F338</f>
        <v>0.1603</v>
      </c>
      <c r="H126" s="13">
        <f>1.96*mgmt!G338</f>
        <v>2.7439999999999999E-2</v>
      </c>
      <c r="I126" s="13">
        <f>mgmt!H338</f>
        <v>1.5699999999999999E-2</v>
      </c>
      <c r="J126" s="13">
        <f>1.96*mgmt!I338</f>
        <v>8.2319999999999997E-3</v>
      </c>
    </row>
    <row r="127" spans="2:10" x14ac:dyDescent="0.35">
      <c r="B127" s="7">
        <f>mgmt!$A339</f>
        <v>0.53339999999999999</v>
      </c>
      <c r="C127" s="13">
        <f>mgmt!B339</f>
        <v>0.65769999999999995</v>
      </c>
      <c r="D127" s="13">
        <f>1.96*mgmt!C339</f>
        <v>3.7435999999999997E-2</v>
      </c>
      <c r="E127" s="13">
        <f>mgmt!D339</f>
        <v>0.1663</v>
      </c>
      <c r="F127" s="13">
        <f>1.96*mgmt!E339</f>
        <v>3.1947999999999997E-2</v>
      </c>
      <c r="G127" s="13">
        <f>mgmt!F339</f>
        <v>0.1603</v>
      </c>
      <c r="H127" s="13">
        <f>1.96*mgmt!G339</f>
        <v>2.7439999999999999E-2</v>
      </c>
      <c r="I127" s="13">
        <f>mgmt!H339</f>
        <v>1.5699999999999999E-2</v>
      </c>
      <c r="J127" s="13">
        <f>1.96*mgmt!I339</f>
        <v>8.2319999999999997E-3</v>
      </c>
    </row>
    <row r="128" spans="2:10" x14ac:dyDescent="0.35">
      <c r="B128" s="7">
        <f>mgmt!$A340</f>
        <v>0.53659999999999997</v>
      </c>
      <c r="C128" s="13">
        <f>mgmt!B340</f>
        <v>0.65700000000000003</v>
      </c>
      <c r="D128" s="13">
        <f>1.96*mgmt!C340</f>
        <v>3.7435999999999997E-2</v>
      </c>
      <c r="E128" s="13">
        <f>mgmt!D340</f>
        <v>0.1666</v>
      </c>
      <c r="F128" s="13">
        <f>1.96*mgmt!E340</f>
        <v>3.1947999999999997E-2</v>
      </c>
      <c r="G128" s="13">
        <f>mgmt!F340</f>
        <v>0.1608</v>
      </c>
      <c r="H128" s="13">
        <f>1.96*mgmt!G340</f>
        <v>2.7635999999999997E-2</v>
      </c>
      <c r="I128" s="13">
        <f>mgmt!H340</f>
        <v>1.5599999999999999E-2</v>
      </c>
      <c r="J128" s="13">
        <f>1.96*mgmt!I340</f>
        <v>8.2319999999999997E-3</v>
      </c>
    </row>
    <row r="129" spans="2:10" x14ac:dyDescent="0.35">
      <c r="B129" s="7">
        <f>mgmt!$A341</f>
        <v>0.54</v>
      </c>
      <c r="C129" s="13">
        <f>mgmt!B341</f>
        <v>0.65620000000000001</v>
      </c>
      <c r="D129" s="13">
        <f>1.96*mgmt!C341</f>
        <v>3.7435999999999997E-2</v>
      </c>
      <c r="E129" s="13">
        <f>mgmt!D341</f>
        <v>0.1671</v>
      </c>
      <c r="F129" s="13">
        <f>1.96*mgmt!E341</f>
        <v>3.1947999999999997E-2</v>
      </c>
      <c r="G129" s="13">
        <f>mgmt!F341</f>
        <v>0.16120000000000001</v>
      </c>
      <c r="H129" s="13">
        <f>1.96*mgmt!G341</f>
        <v>2.7635999999999997E-2</v>
      </c>
      <c r="I129" s="13">
        <f>mgmt!H341</f>
        <v>1.55E-2</v>
      </c>
      <c r="J129" s="13">
        <f>1.96*mgmt!I341</f>
        <v>8.2319999999999997E-3</v>
      </c>
    </row>
    <row r="130" spans="2:10" x14ac:dyDescent="0.35">
      <c r="B130" s="7">
        <f>mgmt!$A342</f>
        <v>0.54320000000000002</v>
      </c>
      <c r="C130" s="13">
        <f>mgmt!B342</f>
        <v>0.65539999999999998</v>
      </c>
      <c r="D130" s="13">
        <f>1.96*mgmt!C342</f>
        <v>3.7435999999999997E-2</v>
      </c>
      <c r="E130" s="13">
        <f>mgmt!D342</f>
        <v>0.16739999999999999</v>
      </c>
      <c r="F130" s="13">
        <f>1.96*mgmt!E342</f>
        <v>3.1947999999999997E-2</v>
      </c>
      <c r="G130" s="13">
        <f>mgmt!F342</f>
        <v>0.16170000000000001</v>
      </c>
      <c r="H130" s="13">
        <f>1.96*mgmt!G342</f>
        <v>2.7635999999999997E-2</v>
      </c>
      <c r="I130" s="13">
        <f>mgmt!H342</f>
        <v>1.55E-2</v>
      </c>
      <c r="J130" s="13">
        <f>1.96*mgmt!I342</f>
        <v>8.2319999999999997E-3</v>
      </c>
    </row>
    <row r="131" spans="2:10" x14ac:dyDescent="0.35">
      <c r="B131" s="7">
        <f>mgmt!$A343</f>
        <v>0.54339999999999999</v>
      </c>
      <c r="C131" s="13">
        <f>mgmt!B343</f>
        <v>0.65539999999999998</v>
      </c>
      <c r="D131" s="13">
        <f>1.96*mgmt!C343</f>
        <v>3.7435999999999997E-2</v>
      </c>
      <c r="E131" s="13">
        <f>mgmt!D343</f>
        <v>0.16750000000000001</v>
      </c>
      <c r="F131" s="13">
        <f>1.96*mgmt!E343</f>
        <v>3.1947999999999997E-2</v>
      </c>
      <c r="G131" s="13">
        <f>mgmt!F343</f>
        <v>0.16170000000000001</v>
      </c>
      <c r="H131" s="13">
        <f>1.96*mgmt!G343</f>
        <v>2.7635999999999997E-2</v>
      </c>
      <c r="I131" s="13">
        <f>mgmt!H343</f>
        <v>1.54E-2</v>
      </c>
      <c r="J131" s="13">
        <f>1.96*mgmt!I343</f>
        <v>8.2319999999999997E-3</v>
      </c>
    </row>
    <row r="132" spans="2:10" x14ac:dyDescent="0.35">
      <c r="B132" s="7">
        <f>mgmt!$A344</f>
        <v>0.54659999999999997</v>
      </c>
      <c r="C132" s="13">
        <f>mgmt!B344</f>
        <v>0.65469999999999995</v>
      </c>
      <c r="D132" s="13">
        <f>1.96*mgmt!C344</f>
        <v>3.7435999999999997E-2</v>
      </c>
      <c r="E132" s="13">
        <f>mgmt!D344</f>
        <v>0.1678</v>
      </c>
      <c r="F132" s="13">
        <f>1.96*mgmt!E344</f>
        <v>3.1947999999999997E-2</v>
      </c>
      <c r="G132" s="13">
        <f>mgmt!F344</f>
        <v>0.16209999999999999</v>
      </c>
      <c r="H132" s="13">
        <f>1.96*mgmt!G344</f>
        <v>2.7832000000000003E-2</v>
      </c>
      <c r="I132" s="13">
        <f>mgmt!H344</f>
        <v>1.54E-2</v>
      </c>
      <c r="J132" s="13">
        <f>1.96*mgmt!I344</f>
        <v>8.2319999999999997E-3</v>
      </c>
    </row>
    <row r="133" spans="2:10" x14ac:dyDescent="0.35">
      <c r="B133" s="7">
        <f>mgmt!$A345</f>
        <v>0.54679999999999995</v>
      </c>
      <c r="C133" s="13">
        <f>mgmt!B345</f>
        <v>0.65459999999999996</v>
      </c>
      <c r="D133" s="13">
        <f>1.96*mgmt!C345</f>
        <v>3.7631999999999999E-2</v>
      </c>
      <c r="E133" s="13">
        <f>mgmt!D345</f>
        <v>0.16789999999999999</v>
      </c>
      <c r="F133" s="13">
        <f>1.96*mgmt!E345</f>
        <v>3.1947999999999997E-2</v>
      </c>
      <c r="G133" s="13">
        <f>mgmt!F345</f>
        <v>0.16220000000000001</v>
      </c>
      <c r="H133" s="13">
        <f>1.96*mgmt!G345</f>
        <v>2.7832000000000003E-2</v>
      </c>
      <c r="I133" s="13">
        <f>mgmt!H345</f>
        <v>1.54E-2</v>
      </c>
      <c r="J133" s="13">
        <f>1.96*mgmt!I345</f>
        <v>8.2319999999999997E-3</v>
      </c>
    </row>
    <row r="134" spans="2:10" x14ac:dyDescent="0.35">
      <c r="B134" s="7">
        <f>mgmt!$A346</f>
        <v>0.55000000000000004</v>
      </c>
      <c r="C134" s="13">
        <f>mgmt!B346</f>
        <v>0.65390000000000004</v>
      </c>
      <c r="D134" s="13">
        <f>1.96*mgmt!C346</f>
        <v>3.7631999999999999E-2</v>
      </c>
      <c r="E134" s="13">
        <f>mgmt!D346</f>
        <v>0.16819999999999999</v>
      </c>
      <c r="F134" s="13">
        <f>1.96*mgmt!E346</f>
        <v>3.2143999999999999E-2</v>
      </c>
      <c r="G134" s="13">
        <f>mgmt!F346</f>
        <v>0.16259999999999999</v>
      </c>
      <c r="H134" s="13">
        <f>1.96*mgmt!G346</f>
        <v>2.7832000000000003E-2</v>
      </c>
      <c r="I134" s="13">
        <f>mgmt!H346</f>
        <v>1.5299999999999999E-2</v>
      </c>
      <c r="J134" s="13">
        <f>1.96*mgmt!I346</f>
        <v>8.4279999999999997E-3</v>
      </c>
    </row>
    <row r="135" spans="2:10" x14ac:dyDescent="0.35">
      <c r="B135" s="7">
        <f>mgmt!$A347</f>
        <v>0.55320000000000003</v>
      </c>
      <c r="C135" s="13">
        <f>mgmt!B347</f>
        <v>0.65310000000000001</v>
      </c>
      <c r="D135" s="13">
        <f>1.96*mgmt!C347</f>
        <v>3.7631999999999999E-2</v>
      </c>
      <c r="E135" s="13">
        <f>mgmt!D347</f>
        <v>0.1686</v>
      </c>
      <c r="F135" s="13">
        <f>1.96*mgmt!E347</f>
        <v>3.2143999999999999E-2</v>
      </c>
      <c r="G135" s="13">
        <f>mgmt!F347</f>
        <v>0.16300000000000001</v>
      </c>
      <c r="H135" s="13">
        <f>1.96*mgmt!G347</f>
        <v>2.7832000000000003E-2</v>
      </c>
      <c r="I135" s="13">
        <f>mgmt!H347</f>
        <v>1.52E-2</v>
      </c>
      <c r="J135" s="13">
        <f>1.96*mgmt!I347</f>
        <v>8.4279999999999997E-3</v>
      </c>
    </row>
    <row r="136" spans="2:10" x14ac:dyDescent="0.35">
      <c r="B136" s="7">
        <f>mgmt!$A348</f>
        <v>0.56000000000000005</v>
      </c>
      <c r="C136" s="13">
        <f>mgmt!B348</f>
        <v>0.65159999999999996</v>
      </c>
      <c r="D136" s="13">
        <f>1.96*mgmt!C348</f>
        <v>3.8024000000000002E-2</v>
      </c>
      <c r="E136" s="13">
        <f>mgmt!D348</f>
        <v>0.1694</v>
      </c>
      <c r="F136" s="13">
        <f>1.96*mgmt!E348</f>
        <v>3.2340000000000001E-2</v>
      </c>
      <c r="G136" s="13">
        <f>mgmt!F348</f>
        <v>0.16400000000000001</v>
      </c>
      <c r="H136" s="13">
        <f>1.96*mgmt!G348</f>
        <v>2.8223999999999999E-2</v>
      </c>
      <c r="I136" s="13">
        <f>mgmt!H348</f>
        <v>1.4999999999999999E-2</v>
      </c>
      <c r="J136" s="13">
        <f>1.96*mgmt!I348</f>
        <v>8.4279999999999997E-3</v>
      </c>
    </row>
    <row r="137" spans="2:10" x14ac:dyDescent="0.35">
      <c r="B137" s="7">
        <f>mgmt!$A349</f>
        <v>0.56020000000000003</v>
      </c>
      <c r="C137" s="13">
        <f>mgmt!B349</f>
        <v>0.65149999999999997</v>
      </c>
      <c r="D137" s="13">
        <f>1.96*mgmt!C349</f>
        <v>3.8024000000000002E-2</v>
      </c>
      <c r="E137" s="13">
        <f>mgmt!D349</f>
        <v>0.16950000000000001</v>
      </c>
      <c r="F137" s="13">
        <f>1.96*mgmt!E349</f>
        <v>3.2340000000000001E-2</v>
      </c>
      <c r="G137" s="13">
        <f>mgmt!F349</f>
        <v>0.16400000000000001</v>
      </c>
      <c r="H137" s="13">
        <f>1.96*mgmt!G349</f>
        <v>2.8223999999999999E-2</v>
      </c>
      <c r="I137" s="13">
        <f>mgmt!H349</f>
        <v>1.4999999999999999E-2</v>
      </c>
      <c r="J137" s="13">
        <f>1.96*mgmt!I349</f>
        <v>8.4279999999999997E-3</v>
      </c>
    </row>
    <row r="138" spans="2:10" x14ac:dyDescent="0.35">
      <c r="B138" s="7">
        <f>mgmt!$A350</f>
        <v>0.56340000000000001</v>
      </c>
      <c r="C138" s="13">
        <f>mgmt!B350</f>
        <v>0.65080000000000005</v>
      </c>
      <c r="D138" s="13">
        <f>1.96*mgmt!C350</f>
        <v>3.8024000000000002E-2</v>
      </c>
      <c r="E138" s="13">
        <f>mgmt!D350</f>
        <v>0.16980000000000001</v>
      </c>
      <c r="F138" s="13">
        <f>1.96*mgmt!E350</f>
        <v>3.2536000000000002E-2</v>
      </c>
      <c r="G138" s="13">
        <f>mgmt!F350</f>
        <v>0.16439999999999999</v>
      </c>
      <c r="H138" s="13">
        <f>1.96*mgmt!G350</f>
        <v>2.8223999999999999E-2</v>
      </c>
      <c r="I138" s="13">
        <f>mgmt!H350</f>
        <v>1.4999999999999999E-2</v>
      </c>
      <c r="J138" s="13">
        <f>1.96*mgmt!I350</f>
        <v>8.4279999999999997E-3</v>
      </c>
    </row>
    <row r="139" spans="2:10" x14ac:dyDescent="0.35">
      <c r="B139" s="7">
        <f>mgmt!$A351</f>
        <v>0.56659999999999999</v>
      </c>
      <c r="C139" s="13">
        <f>mgmt!B351</f>
        <v>0.65</v>
      </c>
      <c r="D139" s="13">
        <f>1.96*mgmt!C351</f>
        <v>3.8219999999999997E-2</v>
      </c>
      <c r="E139" s="13">
        <f>mgmt!D351</f>
        <v>0.17019999999999999</v>
      </c>
      <c r="F139" s="13">
        <f>1.96*mgmt!E351</f>
        <v>3.2536000000000002E-2</v>
      </c>
      <c r="G139" s="13">
        <f>mgmt!F351</f>
        <v>0.16489999999999999</v>
      </c>
      <c r="H139" s="13">
        <f>1.96*mgmt!G351</f>
        <v>2.8420000000000001E-2</v>
      </c>
      <c r="I139" s="13">
        <f>mgmt!H351</f>
        <v>1.49E-2</v>
      </c>
      <c r="J139" s="13">
        <f>1.96*mgmt!I351</f>
        <v>8.4279999999999997E-3</v>
      </c>
    </row>
    <row r="140" spans="2:10" x14ac:dyDescent="0.35">
      <c r="B140" s="7">
        <f>mgmt!$A352</f>
        <v>0.56679999999999997</v>
      </c>
      <c r="C140" s="13">
        <f>mgmt!B352</f>
        <v>0.65</v>
      </c>
      <c r="D140" s="13">
        <f>1.96*mgmt!C352</f>
        <v>3.8219999999999997E-2</v>
      </c>
      <c r="E140" s="13">
        <f>mgmt!D352</f>
        <v>0.17019999999999999</v>
      </c>
      <c r="F140" s="13">
        <f>1.96*mgmt!E352</f>
        <v>3.2536000000000002E-2</v>
      </c>
      <c r="G140" s="13">
        <f>mgmt!F352</f>
        <v>0.16489999999999999</v>
      </c>
      <c r="H140" s="13">
        <f>1.96*mgmt!G352</f>
        <v>2.8420000000000001E-2</v>
      </c>
      <c r="I140" s="13">
        <f>mgmt!H352</f>
        <v>1.49E-2</v>
      </c>
      <c r="J140" s="13">
        <f>1.96*mgmt!I352</f>
        <v>8.4279999999999997E-3</v>
      </c>
    </row>
    <row r="141" spans="2:10" x14ac:dyDescent="0.35">
      <c r="B141" s="7">
        <f>mgmt!$A353</f>
        <v>0.56999999999999995</v>
      </c>
      <c r="C141" s="13">
        <f>mgmt!B353</f>
        <v>0.6492</v>
      </c>
      <c r="D141" s="13">
        <f>1.96*mgmt!C353</f>
        <v>3.8415999999999999E-2</v>
      </c>
      <c r="E141" s="13">
        <f>mgmt!D353</f>
        <v>0.1706</v>
      </c>
      <c r="F141" s="13">
        <f>1.96*mgmt!E353</f>
        <v>3.2731999999999997E-2</v>
      </c>
      <c r="G141" s="13">
        <f>mgmt!F353</f>
        <v>0.1653</v>
      </c>
      <c r="H141" s="13">
        <f>1.96*mgmt!G353</f>
        <v>2.8420000000000001E-2</v>
      </c>
      <c r="I141" s="13">
        <f>mgmt!H353</f>
        <v>1.4800000000000001E-2</v>
      </c>
      <c r="J141" s="13">
        <f>1.96*mgmt!I353</f>
        <v>8.4279999999999997E-3</v>
      </c>
    </row>
    <row r="142" spans="2:10" x14ac:dyDescent="0.35">
      <c r="B142" s="7">
        <f>mgmt!$A354</f>
        <v>0.57320000000000004</v>
      </c>
      <c r="C142" s="13">
        <f>mgmt!B354</f>
        <v>0.64849999999999997</v>
      </c>
      <c r="D142" s="13">
        <f>1.96*mgmt!C354</f>
        <v>3.8611999999999994E-2</v>
      </c>
      <c r="E142" s="13">
        <f>mgmt!D354</f>
        <v>0.17100000000000001</v>
      </c>
      <c r="F142" s="13">
        <f>1.96*mgmt!E354</f>
        <v>3.2927999999999999E-2</v>
      </c>
      <c r="G142" s="13">
        <f>mgmt!F354</f>
        <v>0.1658</v>
      </c>
      <c r="H142" s="13">
        <f>1.96*mgmt!G354</f>
        <v>2.8615999999999999E-2</v>
      </c>
      <c r="I142" s="13">
        <f>mgmt!H354</f>
        <v>1.47E-2</v>
      </c>
      <c r="J142" s="13">
        <f>1.96*mgmt!I354</f>
        <v>8.6239999999999997E-3</v>
      </c>
    </row>
    <row r="143" spans="2:10" x14ac:dyDescent="0.35">
      <c r="B143" s="7">
        <f>mgmt!$A355</f>
        <v>0.57340000000000002</v>
      </c>
      <c r="C143" s="13">
        <f>mgmt!B355</f>
        <v>0.64839999999999998</v>
      </c>
      <c r="D143" s="13">
        <f>1.96*mgmt!C355</f>
        <v>3.8611999999999994E-2</v>
      </c>
      <c r="E143" s="13">
        <f>mgmt!D355</f>
        <v>0.17100000000000001</v>
      </c>
      <c r="F143" s="13">
        <f>1.96*mgmt!E355</f>
        <v>3.2927999999999999E-2</v>
      </c>
      <c r="G143" s="13">
        <f>mgmt!F355</f>
        <v>0.1658</v>
      </c>
      <c r="H143" s="13">
        <f>1.96*mgmt!G355</f>
        <v>2.8615999999999999E-2</v>
      </c>
      <c r="I143" s="13">
        <f>mgmt!H355</f>
        <v>1.47E-2</v>
      </c>
      <c r="J143" s="13">
        <f>1.96*mgmt!I355</f>
        <v>8.6239999999999997E-3</v>
      </c>
    </row>
    <row r="144" spans="2:10" x14ac:dyDescent="0.35">
      <c r="B144" s="7">
        <f>mgmt!$A356</f>
        <v>0.5766</v>
      </c>
      <c r="C144" s="13">
        <f>mgmt!B356</f>
        <v>0.64770000000000005</v>
      </c>
      <c r="D144" s="13">
        <f>1.96*mgmt!C356</f>
        <v>3.8808000000000002E-2</v>
      </c>
      <c r="E144" s="13">
        <f>mgmt!D356</f>
        <v>0.1714</v>
      </c>
      <c r="F144" s="13">
        <f>1.96*mgmt!E356</f>
        <v>3.3123999999999994E-2</v>
      </c>
      <c r="G144" s="13">
        <f>mgmt!F356</f>
        <v>0.1663</v>
      </c>
      <c r="H144" s="13">
        <f>1.96*mgmt!G356</f>
        <v>2.8811999999999997E-2</v>
      </c>
      <c r="I144" s="13">
        <f>mgmt!H356</f>
        <v>1.46E-2</v>
      </c>
      <c r="J144" s="13">
        <f>1.96*mgmt!I356</f>
        <v>8.6239999999999997E-3</v>
      </c>
    </row>
    <row r="145" spans="2:10" x14ac:dyDescent="0.35">
      <c r="B145" s="7">
        <f>mgmt!$A357</f>
        <v>0.57679999999999998</v>
      </c>
      <c r="C145" s="13">
        <f>mgmt!B357</f>
        <v>0.64759999999999995</v>
      </c>
      <c r="D145" s="13">
        <f>1.96*mgmt!C357</f>
        <v>3.8808000000000002E-2</v>
      </c>
      <c r="E145" s="13">
        <f>mgmt!D357</f>
        <v>0.1714</v>
      </c>
      <c r="F145" s="13">
        <f>1.96*mgmt!E357</f>
        <v>3.3123999999999994E-2</v>
      </c>
      <c r="G145" s="13">
        <f>mgmt!F357</f>
        <v>0.1663</v>
      </c>
      <c r="H145" s="13">
        <f>1.96*mgmt!G357</f>
        <v>2.8811999999999997E-2</v>
      </c>
      <c r="I145" s="13">
        <f>mgmt!H357</f>
        <v>1.46E-2</v>
      </c>
      <c r="J145" s="13">
        <f>1.96*mgmt!I357</f>
        <v>8.6239999999999997E-3</v>
      </c>
    </row>
    <row r="146" spans="2:10" x14ac:dyDescent="0.35">
      <c r="B146" s="7">
        <f>mgmt!$A358</f>
        <v>0.57999999999999996</v>
      </c>
      <c r="C146" s="13">
        <f>mgmt!B358</f>
        <v>0.64690000000000003</v>
      </c>
      <c r="D146" s="13">
        <f>1.96*mgmt!C358</f>
        <v>3.9004000000000004E-2</v>
      </c>
      <c r="E146" s="13">
        <f>mgmt!D358</f>
        <v>0.17180000000000001</v>
      </c>
      <c r="F146" s="13">
        <f>1.96*mgmt!E358</f>
        <v>3.3320000000000002E-2</v>
      </c>
      <c r="G146" s="13">
        <f>mgmt!F358</f>
        <v>0.16669999999999999</v>
      </c>
      <c r="H146" s="13">
        <f>1.96*mgmt!G358</f>
        <v>2.8811999999999997E-2</v>
      </c>
      <c r="I146" s="13">
        <f>mgmt!H358</f>
        <v>1.46E-2</v>
      </c>
      <c r="J146" s="13">
        <f>1.96*mgmt!I358</f>
        <v>8.6239999999999997E-3</v>
      </c>
    </row>
    <row r="147" spans="2:10" x14ac:dyDescent="0.35">
      <c r="B147" s="7">
        <f>mgmt!$A359</f>
        <v>0.58020000000000005</v>
      </c>
      <c r="C147" s="13">
        <f>mgmt!B359</f>
        <v>0.64680000000000004</v>
      </c>
      <c r="D147" s="13">
        <f>1.96*mgmt!C359</f>
        <v>3.9004000000000004E-2</v>
      </c>
      <c r="E147" s="13">
        <f>mgmt!D359</f>
        <v>0.17180000000000001</v>
      </c>
      <c r="F147" s="13">
        <f>1.96*mgmt!E359</f>
        <v>3.3320000000000002E-2</v>
      </c>
      <c r="G147" s="13">
        <f>mgmt!F359</f>
        <v>0.1668</v>
      </c>
      <c r="H147" s="13">
        <f>1.96*mgmt!G359</f>
        <v>2.8811999999999997E-2</v>
      </c>
      <c r="I147" s="13">
        <f>mgmt!H359</f>
        <v>1.46E-2</v>
      </c>
      <c r="J147" s="13">
        <f>1.96*mgmt!I359</f>
        <v>8.6239999999999997E-3</v>
      </c>
    </row>
    <row r="148" spans="2:10" x14ac:dyDescent="0.35">
      <c r="B148" s="7">
        <f>mgmt!$A360</f>
        <v>0.58320000000000005</v>
      </c>
      <c r="C148" s="13">
        <f>mgmt!B360</f>
        <v>0.64610000000000001</v>
      </c>
      <c r="D148" s="13">
        <f>1.96*mgmt!C360</f>
        <v>3.9396E-2</v>
      </c>
      <c r="E148" s="13">
        <f>mgmt!D360</f>
        <v>0.17219999999999999</v>
      </c>
      <c r="F148" s="13">
        <f>1.96*mgmt!E360</f>
        <v>3.3711999999999999E-2</v>
      </c>
      <c r="G148" s="13">
        <f>mgmt!F360</f>
        <v>0.16719999999999999</v>
      </c>
      <c r="H148" s="13">
        <f>1.96*mgmt!G360</f>
        <v>2.9007999999999999E-2</v>
      </c>
      <c r="I148" s="13">
        <f>mgmt!H360</f>
        <v>1.4500000000000001E-2</v>
      </c>
      <c r="J148" s="13">
        <f>1.96*mgmt!I360</f>
        <v>8.6239999999999997E-3</v>
      </c>
    </row>
    <row r="149" spans="2:10" x14ac:dyDescent="0.35">
      <c r="B149" s="7">
        <f>mgmt!$A361</f>
        <v>0.58340000000000003</v>
      </c>
      <c r="C149" s="13">
        <f>mgmt!B361</f>
        <v>0.64610000000000001</v>
      </c>
      <c r="D149" s="13">
        <f>1.96*mgmt!C361</f>
        <v>3.9396E-2</v>
      </c>
      <c r="E149" s="13">
        <f>mgmt!D361</f>
        <v>0.17219999999999999</v>
      </c>
      <c r="F149" s="13">
        <f>1.96*mgmt!E361</f>
        <v>3.3711999999999999E-2</v>
      </c>
      <c r="G149" s="13">
        <f>mgmt!F361</f>
        <v>0.16719999999999999</v>
      </c>
      <c r="H149" s="13">
        <f>1.96*mgmt!G361</f>
        <v>2.9007999999999999E-2</v>
      </c>
      <c r="I149" s="13">
        <f>mgmt!H361</f>
        <v>1.4500000000000001E-2</v>
      </c>
      <c r="J149" s="13">
        <f>1.96*mgmt!I361</f>
        <v>8.6239999999999997E-3</v>
      </c>
    </row>
    <row r="150" spans="2:10" x14ac:dyDescent="0.35">
      <c r="B150" s="7">
        <f>mgmt!$A362</f>
        <v>0.58660000000000001</v>
      </c>
      <c r="C150" s="13">
        <f>mgmt!B362</f>
        <v>0.64529999999999998</v>
      </c>
      <c r="D150" s="13">
        <f>1.96*mgmt!C362</f>
        <v>3.9591999999999995E-2</v>
      </c>
      <c r="E150" s="13">
        <f>mgmt!D362</f>
        <v>0.1726</v>
      </c>
      <c r="F150" s="13">
        <f>1.96*mgmt!E362</f>
        <v>3.3908000000000001E-2</v>
      </c>
      <c r="G150" s="13">
        <f>mgmt!F362</f>
        <v>0.1676</v>
      </c>
      <c r="H150" s="13">
        <f>1.96*mgmt!G362</f>
        <v>2.9204000000000001E-2</v>
      </c>
      <c r="I150" s="13">
        <f>mgmt!H362</f>
        <v>1.44E-2</v>
      </c>
      <c r="J150" s="13">
        <f>1.96*mgmt!I362</f>
        <v>8.6239999999999997E-3</v>
      </c>
    </row>
    <row r="151" spans="2:10" x14ac:dyDescent="0.35">
      <c r="B151" s="7">
        <f>mgmt!$A363</f>
        <v>0.58679999999999999</v>
      </c>
      <c r="C151" s="13">
        <f>mgmt!B363</f>
        <v>0.64529999999999998</v>
      </c>
      <c r="D151" s="13">
        <f>1.96*mgmt!C363</f>
        <v>3.9591999999999995E-2</v>
      </c>
      <c r="E151" s="13">
        <f>mgmt!D363</f>
        <v>0.1726</v>
      </c>
      <c r="F151" s="13">
        <f>1.96*mgmt!E363</f>
        <v>3.3908000000000001E-2</v>
      </c>
      <c r="G151" s="13">
        <f>mgmt!F363</f>
        <v>0.16769999999999999</v>
      </c>
      <c r="H151" s="13">
        <f>1.96*mgmt!G363</f>
        <v>2.9204000000000001E-2</v>
      </c>
      <c r="I151" s="13">
        <f>mgmt!H363</f>
        <v>1.44E-2</v>
      </c>
      <c r="J151" s="13">
        <f>1.96*mgmt!I363</f>
        <v>8.6239999999999997E-3</v>
      </c>
    </row>
    <row r="152" spans="2:10" x14ac:dyDescent="0.35">
      <c r="B152" s="7">
        <f>mgmt!$A364</f>
        <v>0.59319999999999995</v>
      </c>
      <c r="C152" s="13">
        <f>mgmt!B364</f>
        <v>0.64380000000000004</v>
      </c>
      <c r="D152" s="13">
        <f>1.96*mgmt!C364</f>
        <v>4.018E-2</v>
      </c>
      <c r="E152" s="13">
        <f>mgmt!D364</f>
        <v>0.1734</v>
      </c>
      <c r="F152" s="13">
        <f>1.96*mgmt!E364</f>
        <v>3.4495999999999999E-2</v>
      </c>
      <c r="G152" s="13">
        <f>mgmt!F364</f>
        <v>0.1686</v>
      </c>
      <c r="H152" s="13">
        <f>1.96*mgmt!G364</f>
        <v>2.9596000000000001E-2</v>
      </c>
      <c r="I152" s="13">
        <f>mgmt!H364</f>
        <v>1.43E-2</v>
      </c>
      <c r="J152" s="13">
        <f>1.96*mgmt!I364</f>
        <v>8.8199999999999997E-3</v>
      </c>
    </row>
    <row r="153" spans="2:10" x14ac:dyDescent="0.35">
      <c r="B153" s="7">
        <f>mgmt!$A365</f>
        <v>0.59340000000000004</v>
      </c>
      <c r="C153" s="13">
        <f>mgmt!B365</f>
        <v>0.64370000000000005</v>
      </c>
      <c r="D153" s="13">
        <f>1.96*mgmt!C365</f>
        <v>4.018E-2</v>
      </c>
      <c r="E153" s="13">
        <f>mgmt!D365</f>
        <v>0.1734</v>
      </c>
      <c r="F153" s="13">
        <f>1.96*mgmt!E365</f>
        <v>3.4495999999999999E-2</v>
      </c>
      <c r="G153" s="13">
        <f>mgmt!F365</f>
        <v>0.1686</v>
      </c>
      <c r="H153" s="13">
        <f>1.96*mgmt!G365</f>
        <v>2.9596000000000001E-2</v>
      </c>
      <c r="I153" s="13">
        <f>mgmt!H365</f>
        <v>1.43E-2</v>
      </c>
      <c r="J153" s="13">
        <f>1.96*mgmt!I365</f>
        <v>8.8199999999999997E-3</v>
      </c>
    </row>
    <row r="154" spans="2:10" x14ac:dyDescent="0.35">
      <c r="B154" s="7">
        <f>mgmt!$A366</f>
        <v>0.59660000000000002</v>
      </c>
      <c r="C154" s="13">
        <f>mgmt!B366</f>
        <v>0.64300000000000002</v>
      </c>
      <c r="D154" s="13">
        <f>1.96*mgmt!C366</f>
        <v>4.0376000000000002E-2</v>
      </c>
      <c r="E154" s="13">
        <f>mgmt!D366</f>
        <v>0.17380000000000001</v>
      </c>
      <c r="F154" s="13">
        <f>1.96*mgmt!E366</f>
        <v>3.4692000000000001E-2</v>
      </c>
      <c r="G154" s="13">
        <f>mgmt!F366</f>
        <v>0.16900000000000001</v>
      </c>
      <c r="H154" s="13">
        <f>1.96*mgmt!G366</f>
        <v>2.9791999999999999E-2</v>
      </c>
      <c r="I154" s="13">
        <f>mgmt!H366</f>
        <v>1.4200000000000001E-2</v>
      </c>
      <c r="J154" s="13">
        <f>1.96*mgmt!I366</f>
        <v>8.8199999999999997E-3</v>
      </c>
    </row>
    <row r="155" spans="2:10" x14ac:dyDescent="0.35">
      <c r="B155" s="7">
        <f>mgmt!$A367</f>
        <v>0.5968</v>
      </c>
      <c r="C155" s="13">
        <f>mgmt!B367</f>
        <v>0.64290000000000003</v>
      </c>
      <c r="D155" s="13">
        <f>1.96*mgmt!C367</f>
        <v>4.0376000000000002E-2</v>
      </c>
      <c r="E155" s="13">
        <f>mgmt!D367</f>
        <v>0.17380000000000001</v>
      </c>
      <c r="F155" s="13">
        <f>1.96*mgmt!E367</f>
        <v>3.4692000000000001E-2</v>
      </c>
      <c r="G155" s="13">
        <f>mgmt!F367</f>
        <v>0.1691</v>
      </c>
      <c r="H155" s="13">
        <f>1.96*mgmt!G367</f>
        <v>2.9791999999999999E-2</v>
      </c>
      <c r="I155" s="13">
        <f>mgmt!H367</f>
        <v>1.4200000000000001E-2</v>
      </c>
      <c r="J155" s="13">
        <f>1.96*mgmt!I367</f>
        <v>8.8199999999999997E-3</v>
      </c>
    </row>
    <row r="156" spans="2:10" x14ac:dyDescent="0.35">
      <c r="B156" s="7">
        <f>mgmt!$A368</f>
        <v>0.5998</v>
      </c>
      <c r="C156" s="13">
        <f>mgmt!B368</f>
        <v>0.64219999999999999</v>
      </c>
      <c r="D156" s="13">
        <f>1.96*mgmt!C368</f>
        <v>4.0767999999999999E-2</v>
      </c>
      <c r="E156" s="13">
        <f>mgmt!D368</f>
        <v>0.17419999999999999</v>
      </c>
      <c r="F156" s="13">
        <f>1.96*mgmt!E368</f>
        <v>3.5083999999999997E-2</v>
      </c>
      <c r="G156" s="13">
        <f>mgmt!F368</f>
        <v>0.16950000000000001</v>
      </c>
      <c r="H156" s="13">
        <f>1.96*mgmt!G368</f>
        <v>2.9987999999999997E-2</v>
      </c>
      <c r="I156" s="13">
        <f>mgmt!H368</f>
        <v>1.41E-2</v>
      </c>
      <c r="J156" s="13">
        <f>1.96*mgmt!I368</f>
        <v>9.0159999999999997E-3</v>
      </c>
    </row>
    <row r="157" spans="2:10" x14ac:dyDescent="0.35">
      <c r="B157" s="7">
        <f>mgmt!$A369</f>
        <v>0.6</v>
      </c>
      <c r="C157" s="13">
        <f>mgmt!B369</f>
        <v>0.64219999999999999</v>
      </c>
      <c r="D157" s="13">
        <f>1.96*mgmt!C369</f>
        <v>4.0767999999999999E-2</v>
      </c>
      <c r="E157" s="13">
        <f>mgmt!D369</f>
        <v>0.17419999999999999</v>
      </c>
      <c r="F157" s="13">
        <f>1.96*mgmt!E369</f>
        <v>3.5083999999999997E-2</v>
      </c>
      <c r="G157" s="13">
        <f>mgmt!F369</f>
        <v>0.16950000000000001</v>
      </c>
      <c r="H157" s="13">
        <f>1.96*mgmt!G369</f>
        <v>2.9987999999999997E-2</v>
      </c>
      <c r="I157" s="13">
        <f>mgmt!H369</f>
        <v>1.41E-2</v>
      </c>
      <c r="J157" s="13">
        <f>1.96*mgmt!I369</f>
        <v>9.0159999999999997E-3</v>
      </c>
    </row>
    <row r="158" spans="2:10" x14ac:dyDescent="0.35">
      <c r="B158" s="7">
        <f>mgmt!$A370</f>
        <v>0.60019999999999996</v>
      </c>
      <c r="C158" s="13">
        <f>mgmt!B370</f>
        <v>0.6421</v>
      </c>
      <c r="D158" s="13">
        <f>1.96*mgmt!C370</f>
        <v>4.0767999999999999E-2</v>
      </c>
      <c r="E158" s="13">
        <f>mgmt!D370</f>
        <v>0.17419999999999999</v>
      </c>
      <c r="F158" s="13">
        <f>1.96*mgmt!E370</f>
        <v>3.5083999999999997E-2</v>
      </c>
      <c r="G158" s="13">
        <f>mgmt!F370</f>
        <v>0.16950000000000001</v>
      </c>
      <c r="H158" s="13">
        <f>1.96*mgmt!G370</f>
        <v>2.9987999999999997E-2</v>
      </c>
      <c r="I158" s="13">
        <f>mgmt!H370</f>
        <v>1.41E-2</v>
      </c>
      <c r="J158" s="13">
        <f>1.96*mgmt!I370</f>
        <v>9.0159999999999997E-3</v>
      </c>
    </row>
    <row r="159" spans="2:10" x14ac:dyDescent="0.35">
      <c r="B159" s="7">
        <f>mgmt!$A371</f>
        <v>0.60319999999999996</v>
      </c>
      <c r="C159" s="13">
        <f>mgmt!B371</f>
        <v>0.64139999999999997</v>
      </c>
      <c r="D159" s="13">
        <f>1.96*mgmt!C371</f>
        <v>4.0963999999999993E-2</v>
      </c>
      <c r="E159" s="13">
        <f>mgmt!D371</f>
        <v>0.17460000000000001</v>
      </c>
      <c r="F159" s="13">
        <f>1.96*mgmt!E371</f>
        <v>3.5476000000000001E-2</v>
      </c>
      <c r="G159" s="13">
        <f>mgmt!F371</f>
        <v>0.17</v>
      </c>
      <c r="H159" s="13">
        <f>1.96*mgmt!G371</f>
        <v>3.0183999999999999E-2</v>
      </c>
      <c r="I159" s="13">
        <f>mgmt!H371</f>
        <v>1.4E-2</v>
      </c>
      <c r="J159" s="13">
        <f>1.96*mgmt!I371</f>
        <v>9.0159999999999997E-3</v>
      </c>
    </row>
    <row r="160" spans="2:10" x14ac:dyDescent="0.35">
      <c r="B160" s="7">
        <f>mgmt!$A372</f>
        <v>0.60340000000000005</v>
      </c>
      <c r="C160" s="13">
        <f>mgmt!B372</f>
        <v>0.64139999999999997</v>
      </c>
      <c r="D160" s="13">
        <f>1.96*mgmt!C372</f>
        <v>4.1160000000000002E-2</v>
      </c>
      <c r="E160" s="13">
        <f>mgmt!D372</f>
        <v>0.17460000000000001</v>
      </c>
      <c r="F160" s="13">
        <f>1.96*mgmt!E372</f>
        <v>3.5476000000000001E-2</v>
      </c>
      <c r="G160" s="13">
        <f>mgmt!F372</f>
        <v>0.17</v>
      </c>
      <c r="H160" s="13">
        <f>1.96*mgmt!G372</f>
        <v>3.0183999999999999E-2</v>
      </c>
      <c r="I160" s="13">
        <f>mgmt!H372</f>
        <v>1.4E-2</v>
      </c>
      <c r="J160" s="13">
        <f>1.96*mgmt!I372</f>
        <v>9.0159999999999997E-3</v>
      </c>
    </row>
    <row r="161" spans="2:10" x14ac:dyDescent="0.35">
      <c r="B161" s="7">
        <f>mgmt!$A373</f>
        <v>0.60680000000000001</v>
      </c>
      <c r="C161" s="13">
        <f>mgmt!B373</f>
        <v>0.64049999999999996</v>
      </c>
      <c r="D161" s="13">
        <f>1.96*mgmt!C373</f>
        <v>4.1356000000000004E-2</v>
      </c>
      <c r="E161" s="13">
        <f>mgmt!D373</f>
        <v>0.17499999999999999</v>
      </c>
      <c r="F161" s="13">
        <f>1.96*mgmt!E373</f>
        <v>3.5672000000000002E-2</v>
      </c>
      <c r="G161" s="13">
        <f>mgmt!F373</f>
        <v>0.17050000000000001</v>
      </c>
      <c r="H161" s="13">
        <f>1.96*mgmt!G373</f>
        <v>3.0380000000000001E-2</v>
      </c>
      <c r="I161" s="13">
        <f>mgmt!H373</f>
        <v>1.3899999999999999E-2</v>
      </c>
      <c r="J161" s="13">
        <f>1.96*mgmt!I373</f>
        <v>9.0159999999999997E-3</v>
      </c>
    </row>
    <row r="162" spans="2:10" x14ac:dyDescent="0.35">
      <c r="B162" s="7">
        <f>mgmt!$A374</f>
        <v>0.61</v>
      </c>
      <c r="C162" s="13">
        <f>mgmt!B374</f>
        <v>0.63980000000000004</v>
      </c>
      <c r="D162" s="13">
        <f>1.96*mgmt!C374</f>
        <v>4.1748E-2</v>
      </c>
      <c r="E162" s="13">
        <f>mgmt!D374</f>
        <v>0.1754</v>
      </c>
      <c r="F162" s="13">
        <f>1.96*mgmt!E374</f>
        <v>3.6063999999999999E-2</v>
      </c>
      <c r="G162" s="13">
        <f>mgmt!F374</f>
        <v>0.1709</v>
      </c>
      <c r="H162" s="13">
        <f>1.96*mgmt!G374</f>
        <v>3.0575999999999999E-2</v>
      </c>
      <c r="I162" s="13">
        <f>mgmt!H374</f>
        <v>1.3899999999999999E-2</v>
      </c>
      <c r="J162" s="13">
        <f>1.96*mgmt!I374</f>
        <v>9.0159999999999997E-3</v>
      </c>
    </row>
    <row r="163" spans="2:10" x14ac:dyDescent="0.35">
      <c r="B163" s="7">
        <f>mgmt!$A375</f>
        <v>0.61019999999999996</v>
      </c>
      <c r="C163" s="13">
        <f>mgmt!B375</f>
        <v>0.63970000000000005</v>
      </c>
      <c r="D163" s="13">
        <f>1.96*mgmt!C375</f>
        <v>4.1748E-2</v>
      </c>
      <c r="E163" s="13">
        <f>mgmt!D375</f>
        <v>0.1754</v>
      </c>
      <c r="F163" s="13">
        <f>1.96*mgmt!E375</f>
        <v>3.6063999999999999E-2</v>
      </c>
      <c r="G163" s="13">
        <f>mgmt!F375</f>
        <v>0.1709</v>
      </c>
      <c r="H163" s="13">
        <f>1.96*mgmt!G375</f>
        <v>3.0575999999999999E-2</v>
      </c>
      <c r="I163" s="13">
        <f>mgmt!H375</f>
        <v>1.3899999999999999E-2</v>
      </c>
      <c r="J163" s="13">
        <f>1.96*mgmt!I375</f>
        <v>9.0159999999999997E-3</v>
      </c>
    </row>
    <row r="164" spans="2:10" x14ac:dyDescent="0.35">
      <c r="B164" s="7">
        <f>mgmt!$A376</f>
        <v>0.61319999999999997</v>
      </c>
      <c r="C164" s="13">
        <f>mgmt!B376</f>
        <v>0.63900000000000001</v>
      </c>
      <c r="D164" s="13">
        <f>1.96*mgmt!C376</f>
        <v>4.2139999999999997E-2</v>
      </c>
      <c r="E164" s="13">
        <f>mgmt!D376</f>
        <v>0.17580000000000001</v>
      </c>
      <c r="F164" s="13">
        <f>1.96*mgmt!E376</f>
        <v>3.6455999999999995E-2</v>
      </c>
      <c r="G164" s="13">
        <f>mgmt!F376</f>
        <v>0.1714</v>
      </c>
      <c r="H164" s="13">
        <f>1.96*mgmt!G376</f>
        <v>3.0771999999999997E-2</v>
      </c>
      <c r="I164" s="13">
        <f>mgmt!H376</f>
        <v>1.38E-2</v>
      </c>
      <c r="J164" s="13">
        <f>1.96*mgmt!I376</f>
        <v>9.2119999999999997E-3</v>
      </c>
    </row>
    <row r="165" spans="2:10" x14ac:dyDescent="0.35">
      <c r="B165" s="7">
        <f>mgmt!$A377</f>
        <v>0.61339999999999995</v>
      </c>
      <c r="C165" s="13">
        <f>mgmt!B377</f>
        <v>0.63900000000000001</v>
      </c>
      <c r="D165" s="13">
        <f>1.96*mgmt!C377</f>
        <v>4.2139999999999997E-2</v>
      </c>
      <c r="E165" s="13">
        <f>mgmt!D377</f>
        <v>0.17580000000000001</v>
      </c>
      <c r="F165" s="13">
        <f>1.96*mgmt!E377</f>
        <v>3.6455999999999995E-2</v>
      </c>
      <c r="G165" s="13">
        <f>mgmt!F377</f>
        <v>0.1714</v>
      </c>
      <c r="H165" s="13">
        <f>1.96*mgmt!G377</f>
        <v>3.0771999999999997E-2</v>
      </c>
      <c r="I165" s="13">
        <f>mgmt!H377</f>
        <v>1.38E-2</v>
      </c>
      <c r="J165" s="13">
        <f>1.96*mgmt!I377</f>
        <v>9.2119999999999997E-3</v>
      </c>
    </row>
    <row r="166" spans="2:10" x14ac:dyDescent="0.35">
      <c r="B166" s="7">
        <f>mgmt!$A378</f>
        <v>0.61660000000000004</v>
      </c>
      <c r="C166" s="13">
        <f>mgmt!B378</f>
        <v>0.63819999999999999</v>
      </c>
      <c r="D166" s="13">
        <f>1.96*mgmt!C378</f>
        <v>4.2532E-2</v>
      </c>
      <c r="E166" s="13">
        <f>mgmt!D378</f>
        <v>0.1762</v>
      </c>
      <c r="F166" s="13">
        <f>1.96*mgmt!E378</f>
        <v>3.6847999999999999E-2</v>
      </c>
      <c r="G166" s="13">
        <f>mgmt!F378</f>
        <v>0.17180000000000001</v>
      </c>
      <c r="H166" s="13">
        <f>1.96*mgmt!G378</f>
        <v>3.0968000000000002E-2</v>
      </c>
      <c r="I166" s="13">
        <f>mgmt!H378</f>
        <v>1.37E-2</v>
      </c>
      <c r="J166" s="13">
        <f>1.96*mgmt!I378</f>
        <v>9.2119999999999997E-3</v>
      </c>
    </row>
    <row r="167" spans="2:10" x14ac:dyDescent="0.35">
      <c r="B167" s="7">
        <f>mgmt!$A379</f>
        <v>0.61680000000000001</v>
      </c>
      <c r="C167" s="13">
        <f>mgmt!B379</f>
        <v>0.63819999999999999</v>
      </c>
      <c r="D167" s="13">
        <f>1.96*mgmt!C379</f>
        <v>4.2532E-2</v>
      </c>
      <c r="E167" s="13">
        <f>mgmt!D379</f>
        <v>0.1762</v>
      </c>
      <c r="F167" s="13">
        <f>1.96*mgmt!E379</f>
        <v>3.6847999999999999E-2</v>
      </c>
      <c r="G167" s="13">
        <f>mgmt!F379</f>
        <v>0.1719</v>
      </c>
      <c r="H167" s="13">
        <f>1.96*mgmt!G379</f>
        <v>3.0968000000000002E-2</v>
      </c>
      <c r="I167" s="13">
        <f>mgmt!H379</f>
        <v>1.37E-2</v>
      </c>
      <c r="J167" s="13">
        <f>1.96*mgmt!I379</f>
        <v>9.2119999999999997E-3</v>
      </c>
    </row>
    <row r="168" spans="2:10" x14ac:dyDescent="0.35">
      <c r="B168" s="7">
        <f>mgmt!$A380</f>
        <v>0.62</v>
      </c>
      <c r="C168" s="13">
        <f>mgmt!B380</f>
        <v>0.63739999999999997</v>
      </c>
      <c r="D168" s="13">
        <f>1.96*mgmt!C380</f>
        <v>4.2923999999999997E-2</v>
      </c>
      <c r="E168" s="13">
        <f>mgmt!D380</f>
        <v>0.17660000000000001</v>
      </c>
      <c r="F168" s="13">
        <f>1.96*mgmt!E380</f>
        <v>3.7239999999999995E-2</v>
      </c>
      <c r="G168" s="13">
        <f>mgmt!F380</f>
        <v>0.17230000000000001</v>
      </c>
      <c r="H168" s="13">
        <f>1.96*mgmt!G380</f>
        <v>3.1164000000000001E-2</v>
      </c>
      <c r="I168" s="13">
        <f>mgmt!H380</f>
        <v>1.37E-2</v>
      </c>
      <c r="J168" s="13">
        <f>1.96*mgmt!I380</f>
        <v>9.2119999999999997E-3</v>
      </c>
    </row>
    <row r="169" spans="2:10" x14ac:dyDescent="0.35">
      <c r="B169" s="7">
        <f>mgmt!$A381</f>
        <v>0.62019999999999997</v>
      </c>
      <c r="C169" s="13">
        <f>mgmt!B381</f>
        <v>0.63729999999999998</v>
      </c>
      <c r="D169" s="13">
        <f>1.96*mgmt!C381</f>
        <v>4.2923999999999997E-2</v>
      </c>
      <c r="E169" s="13">
        <f>mgmt!D381</f>
        <v>0.1767</v>
      </c>
      <c r="F169" s="13">
        <f>1.96*mgmt!E381</f>
        <v>3.7239999999999995E-2</v>
      </c>
      <c r="G169" s="13">
        <f>mgmt!F381</f>
        <v>0.1724</v>
      </c>
      <c r="H169" s="13">
        <f>1.96*mgmt!G381</f>
        <v>3.1164000000000001E-2</v>
      </c>
      <c r="I169" s="13">
        <f>mgmt!H381</f>
        <v>1.3599999999999999E-2</v>
      </c>
      <c r="J169" s="13">
        <f>1.96*mgmt!I381</f>
        <v>9.2119999999999997E-3</v>
      </c>
    </row>
    <row r="170" spans="2:10" x14ac:dyDescent="0.35">
      <c r="B170" s="7">
        <f>mgmt!$A382</f>
        <v>0.62339999999999995</v>
      </c>
      <c r="C170" s="13">
        <f>mgmt!B382</f>
        <v>0.63660000000000005</v>
      </c>
      <c r="D170" s="13">
        <f>1.96*mgmt!C382</f>
        <v>4.3316E-2</v>
      </c>
      <c r="E170" s="13">
        <f>mgmt!D382</f>
        <v>0.17699999999999999</v>
      </c>
      <c r="F170" s="13">
        <f>1.96*mgmt!E382</f>
        <v>3.7828000000000001E-2</v>
      </c>
      <c r="G170" s="13">
        <f>mgmt!F382</f>
        <v>0.17280000000000001</v>
      </c>
      <c r="H170" s="13">
        <f>1.96*mgmt!G382</f>
        <v>3.1359999999999999E-2</v>
      </c>
      <c r="I170" s="13">
        <f>mgmt!H382</f>
        <v>1.3599999999999999E-2</v>
      </c>
      <c r="J170" s="13">
        <f>1.96*mgmt!I382</f>
        <v>9.4079999999999997E-3</v>
      </c>
    </row>
    <row r="171" spans="2:10" x14ac:dyDescent="0.35">
      <c r="B171" s="7">
        <f>mgmt!$A383</f>
        <v>0.62660000000000005</v>
      </c>
      <c r="C171" s="13">
        <f>mgmt!B383</f>
        <v>0.63580000000000003</v>
      </c>
      <c r="D171" s="13">
        <f>1.96*mgmt!C383</f>
        <v>4.3707999999999997E-2</v>
      </c>
      <c r="E171" s="13">
        <f>mgmt!D383</f>
        <v>0.1774</v>
      </c>
      <c r="F171" s="13">
        <f>1.96*mgmt!E383</f>
        <v>3.8219999999999997E-2</v>
      </c>
      <c r="G171" s="13">
        <f>mgmt!F383</f>
        <v>0.17330000000000001</v>
      </c>
      <c r="H171" s="13">
        <f>1.96*mgmt!G383</f>
        <v>3.1751999999999996E-2</v>
      </c>
      <c r="I171" s="13">
        <f>mgmt!H383</f>
        <v>1.35E-2</v>
      </c>
      <c r="J171" s="13">
        <f>1.96*mgmt!I383</f>
        <v>9.4079999999999997E-3</v>
      </c>
    </row>
    <row r="172" spans="2:10" x14ac:dyDescent="0.35">
      <c r="B172" s="7">
        <f>mgmt!$A384</f>
        <v>0.62680000000000002</v>
      </c>
      <c r="C172" s="13">
        <f>mgmt!B384</f>
        <v>0.63580000000000003</v>
      </c>
      <c r="D172" s="13">
        <f>1.96*mgmt!C384</f>
        <v>4.3707999999999997E-2</v>
      </c>
      <c r="E172" s="13">
        <f>mgmt!D384</f>
        <v>0.1774</v>
      </c>
      <c r="F172" s="13">
        <f>1.96*mgmt!E384</f>
        <v>3.8219999999999997E-2</v>
      </c>
      <c r="G172" s="13">
        <f>mgmt!F384</f>
        <v>0.17330000000000001</v>
      </c>
      <c r="H172" s="13">
        <f>1.96*mgmt!G384</f>
        <v>3.1751999999999996E-2</v>
      </c>
      <c r="I172" s="13">
        <f>mgmt!H384</f>
        <v>1.35E-2</v>
      </c>
      <c r="J172" s="13">
        <f>1.96*mgmt!I384</f>
        <v>9.4079999999999997E-3</v>
      </c>
    </row>
    <row r="173" spans="2:10" x14ac:dyDescent="0.35">
      <c r="B173" s="7">
        <f>mgmt!$A385</f>
        <v>0.63</v>
      </c>
      <c r="C173" s="13">
        <f>mgmt!B385</f>
        <v>0.63500000000000001</v>
      </c>
      <c r="D173" s="13">
        <f>1.96*mgmt!C385</f>
        <v>4.41E-2</v>
      </c>
      <c r="E173" s="13">
        <f>mgmt!D385</f>
        <v>0.17780000000000001</v>
      </c>
      <c r="F173" s="13">
        <f>1.96*mgmt!E385</f>
        <v>3.8611999999999994E-2</v>
      </c>
      <c r="G173" s="13">
        <f>mgmt!F385</f>
        <v>0.17369999999999999</v>
      </c>
      <c r="H173" s="13">
        <f>1.96*mgmt!G385</f>
        <v>3.1947999999999997E-2</v>
      </c>
      <c r="I173" s="13">
        <f>mgmt!H385</f>
        <v>1.34E-2</v>
      </c>
      <c r="J173" s="13">
        <f>1.96*mgmt!I385</f>
        <v>9.4079999999999997E-3</v>
      </c>
    </row>
    <row r="174" spans="2:10" x14ac:dyDescent="0.35">
      <c r="B174" s="7">
        <f>mgmt!$A386</f>
        <v>0.63319999999999999</v>
      </c>
      <c r="C174" s="13">
        <f>mgmt!B386</f>
        <v>0.63419999999999999</v>
      </c>
      <c r="D174" s="13">
        <f>1.96*mgmt!C386</f>
        <v>4.4492000000000004E-2</v>
      </c>
      <c r="E174" s="13">
        <f>mgmt!D386</f>
        <v>0.1782</v>
      </c>
      <c r="F174" s="13">
        <f>1.96*mgmt!E386</f>
        <v>3.9004000000000004E-2</v>
      </c>
      <c r="G174" s="13">
        <f>mgmt!F386</f>
        <v>0.17419999999999999</v>
      </c>
      <c r="H174" s="13">
        <f>1.96*mgmt!G386</f>
        <v>3.2143999999999999E-2</v>
      </c>
      <c r="I174" s="13">
        <f>mgmt!H386</f>
        <v>1.34E-2</v>
      </c>
      <c r="J174" s="13">
        <f>1.96*mgmt!I386</f>
        <v>9.6039999999999997E-3</v>
      </c>
    </row>
    <row r="175" spans="2:10" x14ac:dyDescent="0.35">
      <c r="B175" s="7">
        <f>mgmt!$A387</f>
        <v>0.63339999999999996</v>
      </c>
      <c r="C175" s="13">
        <f>mgmt!B387</f>
        <v>0.63419999999999999</v>
      </c>
      <c r="D175" s="13">
        <f>1.96*mgmt!C387</f>
        <v>4.4492000000000004E-2</v>
      </c>
      <c r="E175" s="13">
        <f>mgmt!D387</f>
        <v>0.1782</v>
      </c>
      <c r="F175" s="13">
        <f>1.96*mgmt!E387</f>
        <v>3.9004000000000004E-2</v>
      </c>
      <c r="G175" s="13">
        <f>mgmt!F387</f>
        <v>0.17419999999999999</v>
      </c>
      <c r="H175" s="13">
        <f>1.96*mgmt!G387</f>
        <v>3.2143999999999999E-2</v>
      </c>
      <c r="I175" s="13">
        <f>mgmt!H387</f>
        <v>1.34E-2</v>
      </c>
      <c r="J175" s="13">
        <f>1.96*mgmt!I387</f>
        <v>9.6039999999999997E-3</v>
      </c>
    </row>
    <row r="176" spans="2:10" x14ac:dyDescent="0.35">
      <c r="B176" s="7">
        <f>mgmt!$A388</f>
        <v>0.63680000000000003</v>
      </c>
      <c r="C176" s="13">
        <f>mgmt!B388</f>
        <v>0.63329999999999997</v>
      </c>
      <c r="D176" s="13">
        <f>1.96*mgmt!C388</f>
        <v>4.5079999999999995E-2</v>
      </c>
      <c r="E176" s="13">
        <f>mgmt!D388</f>
        <v>0.1787</v>
      </c>
      <c r="F176" s="13">
        <f>1.96*mgmt!E388</f>
        <v>3.9591999999999995E-2</v>
      </c>
      <c r="G176" s="13">
        <f>mgmt!F388</f>
        <v>0.17469999999999999</v>
      </c>
      <c r="H176" s="13">
        <f>1.96*mgmt!G388</f>
        <v>3.2536000000000002E-2</v>
      </c>
      <c r="I176" s="13">
        <f>mgmt!H388</f>
        <v>1.3299999999999999E-2</v>
      </c>
      <c r="J176" s="13">
        <f>1.96*mgmt!I388</f>
        <v>9.6039999999999997E-3</v>
      </c>
    </row>
    <row r="177" spans="2:10" x14ac:dyDescent="0.35">
      <c r="B177" s="7">
        <f>mgmt!$A389</f>
        <v>0.64</v>
      </c>
      <c r="C177" s="13">
        <f>mgmt!B389</f>
        <v>0.63260000000000005</v>
      </c>
      <c r="D177" s="13">
        <f>1.96*mgmt!C389</f>
        <v>4.5471999999999999E-2</v>
      </c>
      <c r="E177" s="13">
        <f>mgmt!D389</f>
        <v>0.17899999999999999</v>
      </c>
      <c r="F177" s="13">
        <f>1.96*mgmt!E389</f>
        <v>3.9983999999999999E-2</v>
      </c>
      <c r="G177" s="13">
        <f>mgmt!F389</f>
        <v>0.17519999999999999</v>
      </c>
      <c r="H177" s="13">
        <f>1.96*mgmt!G389</f>
        <v>3.2731999999999997E-2</v>
      </c>
      <c r="I177" s="13">
        <f>mgmt!H389</f>
        <v>1.32E-2</v>
      </c>
      <c r="J177" s="13">
        <f>1.96*mgmt!I389</f>
        <v>9.6039999999999997E-3</v>
      </c>
    </row>
    <row r="178" spans="2:10" x14ac:dyDescent="0.35">
      <c r="B178" s="7">
        <f>mgmt!$A390</f>
        <v>0.64319999999999999</v>
      </c>
      <c r="C178" s="13">
        <f>mgmt!B390</f>
        <v>0.63180000000000003</v>
      </c>
      <c r="D178" s="13">
        <f>1.96*mgmt!C390</f>
        <v>4.5864000000000002E-2</v>
      </c>
      <c r="E178" s="13">
        <f>mgmt!D390</f>
        <v>0.1794</v>
      </c>
      <c r="F178" s="13">
        <f>1.96*mgmt!E390</f>
        <v>4.0571999999999997E-2</v>
      </c>
      <c r="G178" s="13">
        <f>mgmt!F390</f>
        <v>0.17560000000000001</v>
      </c>
      <c r="H178" s="13">
        <f>1.96*mgmt!G390</f>
        <v>3.2927999999999999E-2</v>
      </c>
      <c r="I178" s="13">
        <f>mgmt!H390</f>
        <v>1.3100000000000001E-2</v>
      </c>
      <c r="J178" s="13">
        <f>1.96*mgmt!I390</f>
        <v>9.7999999999999997E-3</v>
      </c>
    </row>
    <row r="179" spans="2:10" x14ac:dyDescent="0.35">
      <c r="B179" s="7">
        <f>mgmt!$A391</f>
        <v>0.64339999999999997</v>
      </c>
      <c r="C179" s="13">
        <f>mgmt!B391</f>
        <v>0.63180000000000003</v>
      </c>
      <c r="D179" s="13">
        <f>1.96*mgmt!C391</f>
        <v>4.5864000000000002E-2</v>
      </c>
      <c r="E179" s="13">
        <f>mgmt!D391</f>
        <v>0.17949999999999999</v>
      </c>
      <c r="F179" s="13">
        <f>1.96*mgmt!E391</f>
        <v>4.0571999999999997E-2</v>
      </c>
      <c r="G179" s="13">
        <f>mgmt!F391</f>
        <v>0.17560000000000001</v>
      </c>
      <c r="H179" s="13">
        <f>1.96*mgmt!G391</f>
        <v>3.2927999999999999E-2</v>
      </c>
      <c r="I179" s="13">
        <f>mgmt!H391</f>
        <v>1.3100000000000001E-2</v>
      </c>
      <c r="J179" s="13">
        <f>1.96*mgmt!I391</f>
        <v>9.7999999999999997E-3</v>
      </c>
    </row>
    <row r="180" spans="2:10" x14ac:dyDescent="0.35">
      <c r="B180" s="7">
        <f>mgmt!$A392</f>
        <v>0.64659999999999995</v>
      </c>
      <c r="C180" s="13">
        <f>mgmt!B392</f>
        <v>0.63100000000000001</v>
      </c>
      <c r="D180" s="13">
        <f>1.96*mgmt!C392</f>
        <v>4.6452E-2</v>
      </c>
      <c r="E180" s="13">
        <f>mgmt!D392</f>
        <v>0.17979999999999999</v>
      </c>
      <c r="F180" s="13">
        <f>1.96*mgmt!E392</f>
        <v>4.1160000000000002E-2</v>
      </c>
      <c r="G180" s="13">
        <f>mgmt!F392</f>
        <v>0.17610000000000001</v>
      </c>
      <c r="H180" s="13">
        <f>1.96*mgmt!G392</f>
        <v>3.3320000000000002E-2</v>
      </c>
      <c r="I180" s="13">
        <f>mgmt!H392</f>
        <v>1.3100000000000001E-2</v>
      </c>
      <c r="J180" s="13">
        <f>1.96*mgmt!I392</f>
        <v>9.7999999999999997E-3</v>
      </c>
    </row>
    <row r="181" spans="2:10" x14ac:dyDescent="0.35">
      <c r="B181" s="7">
        <f>mgmt!$A393</f>
        <v>0.65</v>
      </c>
      <c r="C181" s="13">
        <f>mgmt!B393</f>
        <v>0.63009999999999999</v>
      </c>
      <c r="D181" s="13">
        <f>1.96*mgmt!C393</f>
        <v>4.6844000000000004E-2</v>
      </c>
      <c r="E181" s="13">
        <f>mgmt!D393</f>
        <v>0.18029999999999999</v>
      </c>
      <c r="F181" s="13">
        <f>1.96*mgmt!E393</f>
        <v>4.1551999999999999E-2</v>
      </c>
      <c r="G181" s="13">
        <f>mgmt!F393</f>
        <v>0.17660000000000001</v>
      </c>
      <c r="H181" s="13">
        <f>1.96*mgmt!G393</f>
        <v>3.3515999999999997E-2</v>
      </c>
      <c r="I181" s="13">
        <f>mgmt!H393</f>
        <v>1.2999999999999999E-2</v>
      </c>
      <c r="J181" s="13">
        <f>1.96*mgmt!I393</f>
        <v>9.9959999999999997E-3</v>
      </c>
    </row>
    <row r="182" spans="2:10" x14ac:dyDescent="0.35">
      <c r="B182" s="7">
        <f>mgmt!$A394</f>
        <v>0.6502</v>
      </c>
      <c r="C182" s="13">
        <f>mgmt!B394</f>
        <v>0.63009999999999999</v>
      </c>
      <c r="D182" s="13">
        <f>1.96*mgmt!C394</f>
        <v>4.6844000000000004E-2</v>
      </c>
      <c r="E182" s="13">
        <f>mgmt!D394</f>
        <v>0.18029999999999999</v>
      </c>
      <c r="F182" s="13">
        <f>1.96*mgmt!E394</f>
        <v>4.1551999999999999E-2</v>
      </c>
      <c r="G182" s="13">
        <f>mgmt!F394</f>
        <v>0.17660000000000001</v>
      </c>
      <c r="H182" s="13">
        <f>1.96*mgmt!G394</f>
        <v>3.3515999999999997E-2</v>
      </c>
      <c r="I182" s="13">
        <f>mgmt!H394</f>
        <v>1.2999999999999999E-2</v>
      </c>
      <c r="J182" s="13">
        <f>1.96*mgmt!I394</f>
        <v>9.9959999999999997E-3</v>
      </c>
    </row>
    <row r="183" spans="2:10" x14ac:dyDescent="0.35">
      <c r="B183" s="7">
        <f>mgmt!$A395</f>
        <v>0.6532</v>
      </c>
      <c r="C183" s="13">
        <f>mgmt!B395</f>
        <v>0.62939999999999996</v>
      </c>
      <c r="D183" s="13">
        <f>1.96*mgmt!C395</f>
        <v>4.7431999999999995E-2</v>
      </c>
      <c r="E183" s="13">
        <f>mgmt!D395</f>
        <v>0.1807</v>
      </c>
      <c r="F183" s="13">
        <f>1.96*mgmt!E395</f>
        <v>4.2139999999999997E-2</v>
      </c>
      <c r="G183" s="13">
        <f>mgmt!F395</f>
        <v>0.17699999999999999</v>
      </c>
      <c r="H183" s="13">
        <f>1.96*mgmt!G395</f>
        <v>3.3908000000000001E-2</v>
      </c>
      <c r="I183" s="13">
        <f>mgmt!H395</f>
        <v>1.29E-2</v>
      </c>
      <c r="J183" s="13">
        <f>1.96*mgmt!I395</f>
        <v>9.9959999999999997E-3</v>
      </c>
    </row>
    <row r="184" spans="2:10" x14ac:dyDescent="0.35">
      <c r="B184" s="7">
        <f>mgmt!$A396</f>
        <v>0.65339999999999998</v>
      </c>
      <c r="C184" s="13">
        <f>mgmt!B396</f>
        <v>0.62929999999999997</v>
      </c>
      <c r="D184" s="13">
        <f>1.96*mgmt!C396</f>
        <v>4.7431999999999995E-2</v>
      </c>
      <c r="E184" s="13">
        <f>mgmt!D396</f>
        <v>0.1807</v>
      </c>
      <c r="F184" s="13">
        <f>1.96*mgmt!E396</f>
        <v>4.2139999999999997E-2</v>
      </c>
      <c r="G184" s="13">
        <f>mgmt!F396</f>
        <v>0.17710000000000001</v>
      </c>
      <c r="H184" s="13">
        <f>1.96*mgmt!G396</f>
        <v>3.3908000000000001E-2</v>
      </c>
      <c r="I184" s="13">
        <f>mgmt!H396</f>
        <v>1.29E-2</v>
      </c>
      <c r="J184" s="13">
        <f>1.96*mgmt!I396</f>
        <v>9.9959999999999997E-3</v>
      </c>
    </row>
    <row r="185" spans="2:10" x14ac:dyDescent="0.35">
      <c r="B185" s="7">
        <f>mgmt!$A397</f>
        <v>0.66</v>
      </c>
      <c r="C185" s="13">
        <f>mgmt!B397</f>
        <v>0.62770000000000004</v>
      </c>
      <c r="D185" s="13">
        <f>1.96*mgmt!C397</f>
        <v>4.8411999999999997E-2</v>
      </c>
      <c r="E185" s="13">
        <f>mgmt!D397</f>
        <v>0.18149999999999999</v>
      </c>
      <c r="F185" s="13">
        <f>1.96*mgmt!E397</f>
        <v>4.3316E-2</v>
      </c>
      <c r="G185" s="13">
        <f>mgmt!F397</f>
        <v>0.17799999999999999</v>
      </c>
      <c r="H185" s="13">
        <f>1.96*mgmt!G397</f>
        <v>3.4495999999999999E-2</v>
      </c>
      <c r="I185" s="13">
        <f>mgmt!H397</f>
        <v>1.2800000000000001E-2</v>
      </c>
      <c r="J185" s="13">
        <f>1.96*mgmt!I397</f>
        <v>1.0192E-2</v>
      </c>
    </row>
    <row r="186" spans="2:10" x14ac:dyDescent="0.35">
      <c r="B186" s="7">
        <f>mgmt!$A398</f>
        <v>0.66020000000000001</v>
      </c>
      <c r="C186" s="13">
        <f>mgmt!B398</f>
        <v>0.62770000000000004</v>
      </c>
      <c r="D186" s="13">
        <f>1.96*mgmt!C398</f>
        <v>4.8411999999999997E-2</v>
      </c>
      <c r="E186" s="13">
        <f>mgmt!D398</f>
        <v>0.18149999999999999</v>
      </c>
      <c r="F186" s="13">
        <f>1.96*mgmt!E398</f>
        <v>4.3316E-2</v>
      </c>
      <c r="G186" s="13">
        <f>mgmt!F398</f>
        <v>0.17799999999999999</v>
      </c>
      <c r="H186" s="13">
        <f>1.96*mgmt!G398</f>
        <v>3.4495999999999999E-2</v>
      </c>
      <c r="I186" s="13">
        <f>mgmt!H398</f>
        <v>1.2800000000000001E-2</v>
      </c>
      <c r="J186" s="13">
        <f>1.96*mgmt!I398</f>
        <v>1.0192E-2</v>
      </c>
    </row>
    <row r="187" spans="2:10" x14ac:dyDescent="0.35">
      <c r="B187" s="7">
        <f>mgmt!$A399</f>
        <v>0.66339999999999999</v>
      </c>
      <c r="C187" s="13">
        <f>mgmt!B399</f>
        <v>0.62690000000000001</v>
      </c>
      <c r="D187" s="13">
        <f>1.96*mgmt!C399</f>
        <v>4.9000000000000002E-2</v>
      </c>
      <c r="E187" s="13">
        <f>mgmt!D399</f>
        <v>0.18190000000000001</v>
      </c>
      <c r="F187" s="13">
        <f>1.96*mgmt!E399</f>
        <v>4.3903999999999999E-2</v>
      </c>
      <c r="G187" s="13">
        <f>mgmt!F399</f>
        <v>0.17849999999999999</v>
      </c>
      <c r="H187" s="13">
        <f>1.96*mgmt!G399</f>
        <v>3.4888000000000002E-2</v>
      </c>
      <c r="I187" s="13">
        <f>mgmt!H399</f>
        <v>1.2699999999999999E-2</v>
      </c>
      <c r="J187" s="13">
        <f>1.96*mgmt!I399</f>
        <v>1.0192E-2</v>
      </c>
    </row>
    <row r="188" spans="2:10" x14ac:dyDescent="0.35">
      <c r="B188" s="7">
        <f>mgmt!$A400</f>
        <v>0.66659999999999997</v>
      </c>
      <c r="C188" s="13">
        <f>mgmt!B400</f>
        <v>0.62609999999999999</v>
      </c>
      <c r="D188" s="13">
        <f>1.96*mgmt!C400</f>
        <v>4.9391999999999998E-2</v>
      </c>
      <c r="E188" s="13">
        <f>mgmt!D400</f>
        <v>0.18229999999999999</v>
      </c>
      <c r="F188" s="13">
        <f>1.96*mgmt!E400</f>
        <v>4.4492000000000004E-2</v>
      </c>
      <c r="G188" s="13">
        <f>mgmt!F400</f>
        <v>0.17899999999999999</v>
      </c>
      <c r="H188" s="13">
        <f>1.96*mgmt!G400</f>
        <v>3.5083999999999997E-2</v>
      </c>
      <c r="I188" s="13">
        <f>mgmt!H400</f>
        <v>1.2699999999999999E-2</v>
      </c>
      <c r="J188" s="13">
        <f>1.96*mgmt!I400</f>
        <v>1.0192E-2</v>
      </c>
    </row>
    <row r="189" spans="2:10" x14ac:dyDescent="0.35">
      <c r="B189" s="7">
        <f>mgmt!$A401</f>
        <v>0.66679999999999995</v>
      </c>
      <c r="C189" s="13">
        <f>mgmt!B401</f>
        <v>0.626</v>
      </c>
      <c r="D189" s="13">
        <f>1.96*mgmt!C401</f>
        <v>4.9391999999999998E-2</v>
      </c>
      <c r="E189" s="13">
        <f>mgmt!D401</f>
        <v>0.18229999999999999</v>
      </c>
      <c r="F189" s="13">
        <f>1.96*mgmt!E401</f>
        <v>4.4492000000000004E-2</v>
      </c>
      <c r="G189" s="13">
        <f>mgmt!F401</f>
        <v>0.17899999999999999</v>
      </c>
      <c r="H189" s="13">
        <f>1.96*mgmt!G401</f>
        <v>3.5083999999999997E-2</v>
      </c>
      <c r="I189" s="13">
        <f>mgmt!H401</f>
        <v>1.2699999999999999E-2</v>
      </c>
      <c r="J189" s="13">
        <f>1.96*mgmt!I401</f>
        <v>1.0192E-2</v>
      </c>
    </row>
    <row r="190" spans="2:10" x14ac:dyDescent="0.35">
      <c r="B190" s="7">
        <f>mgmt!$A402</f>
        <v>0.67</v>
      </c>
      <c r="C190" s="13">
        <f>mgmt!B402</f>
        <v>0.62529999999999997</v>
      </c>
      <c r="D190" s="13">
        <f>1.96*mgmt!C402</f>
        <v>4.9979999999999997E-2</v>
      </c>
      <c r="E190" s="13">
        <f>mgmt!D402</f>
        <v>0.1827</v>
      </c>
      <c r="F190" s="13">
        <f>1.96*mgmt!E402</f>
        <v>4.5079999999999995E-2</v>
      </c>
      <c r="G190" s="13">
        <f>mgmt!F402</f>
        <v>0.17949999999999999</v>
      </c>
      <c r="H190" s="13">
        <f>1.96*mgmt!G402</f>
        <v>3.5476000000000001E-2</v>
      </c>
      <c r="I190" s="13">
        <f>mgmt!H402</f>
        <v>1.26E-2</v>
      </c>
      <c r="J190" s="13">
        <f>1.96*mgmt!I402</f>
        <v>1.0388E-2</v>
      </c>
    </row>
    <row r="191" spans="2:10" x14ac:dyDescent="0.35">
      <c r="B191" s="7">
        <f>mgmt!$A403</f>
        <v>0.67659999999999998</v>
      </c>
      <c r="C191" s="13">
        <f>mgmt!B403</f>
        <v>0.62360000000000004</v>
      </c>
      <c r="D191" s="13">
        <f>1.96*mgmt!C403</f>
        <v>5.1156E-2</v>
      </c>
      <c r="E191" s="13">
        <f>mgmt!D403</f>
        <v>0.1835</v>
      </c>
      <c r="F191" s="13">
        <f>1.96*mgmt!E403</f>
        <v>4.6255999999999999E-2</v>
      </c>
      <c r="G191" s="13">
        <f>mgmt!F403</f>
        <v>0.1804</v>
      </c>
      <c r="H191" s="13">
        <f>1.96*mgmt!G403</f>
        <v>3.6063999999999999E-2</v>
      </c>
      <c r="I191" s="13">
        <f>mgmt!H403</f>
        <v>1.24E-2</v>
      </c>
      <c r="J191" s="13">
        <f>1.96*mgmt!I403</f>
        <v>1.0388E-2</v>
      </c>
    </row>
    <row r="192" spans="2:10" x14ac:dyDescent="0.35">
      <c r="B192" s="7">
        <f>mgmt!$A404</f>
        <v>0.67679999999999996</v>
      </c>
      <c r="C192" s="13">
        <f>mgmt!B404</f>
        <v>0.62360000000000004</v>
      </c>
      <c r="D192" s="13">
        <f>1.96*mgmt!C404</f>
        <v>5.1156E-2</v>
      </c>
      <c r="E192" s="13">
        <f>mgmt!D404</f>
        <v>0.1835</v>
      </c>
      <c r="F192" s="13">
        <f>1.96*mgmt!E404</f>
        <v>4.6255999999999999E-2</v>
      </c>
      <c r="G192" s="13">
        <f>mgmt!F404</f>
        <v>0.1804</v>
      </c>
      <c r="H192" s="13">
        <f>1.96*mgmt!G404</f>
        <v>3.6063999999999999E-2</v>
      </c>
      <c r="I192" s="13">
        <f>mgmt!H404</f>
        <v>1.24E-2</v>
      </c>
      <c r="J192" s="13">
        <f>1.96*mgmt!I404</f>
        <v>1.0388E-2</v>
      </c>
    </row>
    <row r="193" spans="2:10" x14ac:dyDescent="0.35">
      <c r="B193" s="7">
        <f>mgmt!$A405</f>
        <v>0.68</v>
      </c>
      <c r="C193" s="13">
        <f>mgmt!B405</f>
        <v>0.62280000000000002</v>
      </c>
      <c r="D193" s="13">
        <f>1.96*mgmt!C405</f>
        <v>5.1743999999999998E-2</v>
      </c>
      <c r="E193" s="13">
        <f>mgmt!D405</f>
        <v>0.18390000000000001</v>
      </c>
      <c r="F193" s="13">
        <f>1.96*mgmt!E405</f>
        <v>4.6844000000000004E-2</v>
      </c>
      <c r="G193" s="13">
        <f>mgmt!F405</f>
        <v>0.18090000000000001</v>
      </c>
      <c r="H193" s="13">
        <f>1.96*mgmt!G405</f>
        <v>3.6455999999999995E-2</v>
      </c>
      <c r="I193" s="13">
        <f>mgmt!H405</f>
        <v>1.24E-2</v>
      </c>
      <c r="J193" s="13">
        <f>1.96*mgmt!I405</f>
        <v>1.0584E-2</v>
      </c>
    </row>
    <row r="194" spans="2:10" x14ac:dyDescent="0.35">
      <c r="B194" s="7">
        <f>mgmt!$A406</f>
        <v>0.68020000000000003</v>
      </c>
      <c r="C194" s="13">
        <f>mgmt!B406</f>
        <v>0.62280000000000002</v>
      </c>
      <c r="D194" s="13">
        <f>1.96*mgmt!C406</f>
        <v>5.1743999999999998E-2</v>
      </c>
      <c r="E194" s="13">
        <f>mgmt!D406</f>
        <v>0.18390000000000001</v>
      </c>
      <c r="F194" s="13">
        <f>1.96*mgmt!E406</f>
        <v>4.6844000000000004E-2</v>
      </c>
      <c r="G194" s="13">
        <f>mgmt!F406</f>
        <v>0.18090000000000001</v>
      </c>
      <c r="H194" s="13">
        <f>1.96*mgmt!G406</f>
        <v>3.6455999999999995E-2</v>
      </c>
      <c r="I194" s="13">
        <f>mgmt!H406</f>
        <v>1.24E-2</v>
      </c>
      <c r="J194" s="13">
        <f>1.96*mgmt!I406</f>
        <v>1.0584E-2</v>
      </c>
    </row>
    <row r="195" spans="2:10" x14ac:dyDescent="0.35">
      <c r="B195" s="7">
        <f>mgmt!$A407</f>
        <v>0.68320000000000003</v>
      </c>
      <c r="C195" s="13">
        <f>mgmt!B407</f>
        <v>0.622</v>
      </c>
      <c r="D195" s="13">
        <f>1.96*mgmt!C407</f>
        <v>5.2135999999999995E-2</v>
      </c>
      <c r="E195" s="13">
        <f>mgmt!D407</f>
        <v>0.18429999999999999</v>
      </c>
      <c r="F195" s="13">
        <f>1.96*mgmt!E407</f>
        <v>4.7431999999999995E-2</v>
      </c>
      <c r="G195" s="13">
        <f>mgmt!F407</f>
        <v>0.18140000000000001</v>
      </c>
      <c r="H195" s="13">
        <f>1.96*mgmt!G407</f>
        <v>3.6847999999999999E-2</v>
      </c>
      <c r="I195" s="13">
        <f>mgmt!H407</f>
        <v>1.23E-2</v>
      </c>
      <c r="J195" s="13">
        <f>1.96*mgmt!I407</f>
        <v>1.0584E-2</v>
      </c>
    </row>
    <row r="196" spans="2:10" x14ac:dyDescent="0.35">
      <c r="B196" s="7">
        <f>mgmt!$A408</f>
        <v>0.68340000000000001</v>
      </c>
      <c r="C196" s="13">
        <f>mgmt!B408</f>
        <v>0.622</v>
      </c>
      <c r="D196" s="13">
        <f>1.96*mgmt!C408</f>
        <v>5.2332000000000004E-2</v>
      </c>
      <c r="E196" s="13">
        <f>mgmt!D408</f>
        <v>0.18429999999999999</v>
      </c>
      <c r="F196" s="13">
        <f>1.96*mgmt!E408</f>
        <v>4.7431999999999995E-2</v>
      </c>
      <c r="G196" s="13">
        <f>mgmt!F408</f>
        <v>0.18140000000000001</v>
      </c>
      <c r="H196" s="13">
        <f>1.96*mgmt!G408</f>
        <v>3.6847999999999999E-2</v>
      </c>
      <c r="I196" s="13">
        <f>mgmt!H408</f>
        <v>1.23E-2</v>
      </c>
      <c r="J196" s="13">
        <f>1.96*mgmt!I408</f>
        <v>1.0584E-2</v>
      </c>
    </row>
    <row r="197" spans="2:10" x14ac:dyDescent="0.35">
      <c r="B197" s="7">
        <f>mgmt!$A409</f>
        <v>0.68679999999999997</v>
      </c>
      <c r="C197" s="13">
        <f>mgmt!B409</f>
        <v>0.62109999999999999</v>
      </c>
      <c r="D197" s="13">
        <f>1.96*mgmt!C409</f>
        <v>5.2920000000000002E-2</v>
      </c>
      <c r="E197" s="13">
        <f>mgmt!D409</f>
        <v>0.1847</v>
      </c>
      <c r="F197" s="13">
        <f>1.96*mgmt!E409</f>
        <v>4.8216000000000002E-2</v>
      </c>
      <c r="G197" s="13">
        <f>mgmt!F409</f>
        <v>0.18190000000000001</v>
      </c>
      <c r="H197" s="13">
        <f>1.96*mgmt!G409</f>
        <v>3.7239999999999995E-2</v>
      </c>
      <c r="I197" s="13">
        <f>mgmt!H409</f>
        <v>1.2200000000000001E-2</v>
      </c>
      <c r="J197" s="13">
        <f>1.96*mgmt!I409</f>
        <v>1.0584E-2</v>
      </c>
    </row>
    <row r="198" spans="2:10" x14ac:dyDescent="0.35">
      <c r="B198" s="7">
        <f>mgmt!$A410</f>
        <v>0.69320000000000004</v>
      </c>
      <c r="C198" s="13">
        <f>mgmt!B410</f>
        <v>0.61950000000000005</v>
      </c>
      <c r="D198" s="13">
        <f>1.96*mgmt!C410</f>
        <v>5.3899999999999997E-2</v>
      </c>
      <c r="E198" s="13">
        <f>mgmt!D410</f>
        <v>0.1855</v>
      </c>
      <c r="F198" s="13">
        <f>1.96*mgmt!E410</f>
        <v>4.9391999999999998E-2</v>
      </c>
      <c r="G198" s="13">
        <f>mgmt!F410</f>
        <v>0.18279999999999999</v>
      </c>
      <c r="H198" s="13">
        <f>1.96*mgmt!G410</f>
        <v>3.7828000000000001E-2</v>
      </c>
      <c r="I198" s="13">
        <f>mgmt!H410</f>
        <v>1.21E-2</v>
      </c>
      <c r="J198" s="13">
        <f>1.96*mgmt!I410</f>
        <v>1.078E-2</v>
      </c>
    </row>
    <row r="199" spans="2:10" x14ac:dyDescent="0.35">
      <c r="B199" s="7">
        <f>mgmt!$A411</f>
        <v>0.69340000000000002</v>
      </c>
      <c r="C199" s="13">
        <f>mgmt!B411</f>
        <v>0.61950000000000005</v>
      </c>
      <c r="D199" s="13">
        <f>1.96*mgmt!C411</f>
        <v>5.4095999999999998E-2</v>
      </c>
      <c r="E199" s="13">
        <f>mgmt!D411</f>
        <v>0.18559999999999999</v>
      </c>
      <c r="F199" s="13">
        <f>1.96*mgmt!E411</f>
        <v>4.9391999999999998E-2</v>
      </c>
      <c r="G199" s="13">
        <f>mgmt!F411</f>
        <v>0.18279999999999999</v>
      </c>
      <c r="H199" s="13">
        <f>1.96*mgmt!G411</f>
        <v>3.8024000000000002E-2</v>
      </c>
      <c r="I199" s="13">
        <f>mgmt!H411</f>
        <v>1.21E-2</v>
      </c>
      <c r="J199" s="13">
        <f>1.96*mgmt!I411</f>
        <v>1.078E-2</v>
      </c>
    </row>
    <row r="200" spans="2:10" x14ac:dyDescent="0.35">
      <c r="B200" s="7">
        <f>mgmt!$A412</f>
        <v>0.6966</v>
      </c>
      <c r="C200" s="13">
        <f>mgmt!B412</f>
        <v>0.61870000000000003</v>
      </c>
      <c r="D200" s="13">
        <f>1.96*mgmt!C412</f>
        <v>5.4684000000000003E-2</v>
      </c>
      <c r="E200" s="13">
        <f>mgmt!D412</f>
        <v>0.18590000000000001</v>
      </c>
      <c r="F200" s="13">
        <f>1.96*mgmt!E412</f>
        <v>4.9979999999999997E-2</v>
      </c>
      <c r="G200" s="13">
        <f>mgmt!F412</f>
        <v>0.18329999999999999</v>
      </c>
      <c r="H200" s="13">
        <f>1.96*mgmt!G412</f>
        <v>3.8219999999999997E-2</v>
      </c>
      <c r="I200" s="13">
        <f>mgmt!H412</f>
        <v>1.2E-2</v>
      </c>
      <c r="J200" s="13">
        <f>1.96*mgmt!I412</f>
        <v>1.0976E-2</v>
      </c>
    </row>
    <row r="201" spans="2:10" x14ac:dyDescent="0.35">
      <c r="B201" s="7">
        <f>mgmt!$A413</f>
        <v>0.69679999999999997</v>
      </c>
      <c r="C201" s="13">
        <f>mgmt!B413</f>
        <v>0.61870000000000003</v>
      </c>
      <c r="D201" s="13">
        <f>1.96*mgmt!C413</f>
        <v>5.4684000000000003E-2</v>
      </c>
      <c r="E201" s="13">
        <f>mgmt!D413</f>
        <v>0.186</v>
      </c>
      <c r="F201" s="13">
        <f>1.96*mgmt!E413</f>
        <v>5.0175999999999998E-2</v>
      </c>
      <c r="G201" s="13">
        <f>mgmt!F413</f>
        <v>0.18329999999999999</v>
      </c>
      <c r="H201" s="13">
        <f>1.96*mgmt!G413</f>
        <v>3.8219999999999997E-2</v>
      </c>
      <c r="I201" s="13">
        <f>mgmt!H413</f>
        <v>1.2E-2</v>
      </c>
      <c r="J201" s="13">
        <f>1.96*mgmt!I413</f>
        <v>1.0976E-2</v>
      </c>
    </row>
    <row r="202" spans="2:10" x14ac:dyDescent="0.35">
      <c r="B202" s="7">
        <f>mgmt!$A414</f>
        <v>0.7</v>
      </c>
      <c r="C202" s="13">
        <f>mgmt!B414</f>
        <v>0.6179</v>
      </c>
      <c r="D202" s="13">
        <f>1.96*mgmt!C414</f>
        <v>5.5271999999999995E-2</v>
      </c>
      <c r="E202" s="13">
        <f>mgmt!D414</f>
        <v>0.18640000000000001</v>
      </c>
      <c r="F202" s="13">
        <f>1.96*mgmt!E414</f>
        <v>5.0763999999999997E-2</v>
      </c>
      <c r="G202" s="13">
        <f>mgmt!F414</f>
        <v>0.18379999999999999</v>
      </c>
      <c r="H202" s="13">
        <f>1.96*mgmt!G414</f>
        <v>3.8611999999999994E-2</v>
      </c>
      <c r="I202" s="13">
        <f>mgmt!H414</f>
        <v>1.2E-2</v>
      </c>
      <c r="J202" s="13">
        <f>1.96*mgmt!I414</f>
        <v>1.0976E-2</v>
      </c>
    </row>
    <row r="203" spans="2:10" x14ac:dyDescent="0.35">
      <c r="B203" s="7">
        <f>mgmt!$A415</f>
        <v>0.70020000000000004</v>
      </c>
      <c r="C203" s="13">
        <f>mgmt!B415</f>
        <v>0.61780000000000002</v>
      </c>
      <c r="D203" s="13">
        <f>1.96*mgmt!C415</f>
        <v>5.5271999999999995E-2</v>
      </c>
      <c r="E203" s="13">
        <f>mgmt!D415</f>
        <v>0.18640000000000001</v>
      </c>
      <c r="F203" s="13">
        <f>1.96*mgmt!E415</f>
        <v>5.0763999999999997E-2</v>
      </c>
      <c r="G203" s="13">
        <f>mgmt!F415</f>
        <v>0.18379999999999999</v>
      </c>
      <c r="H203" s="13">
        <f>1.96*mgmt!G415</f>
        <v>3.8611999999999994E-2</v>
      </c>
      <c r="I203" s="13">
        <f>mgmt!H415</f>
        <v>1.2E-2</v>
      </c>
      <c r="J203" s="13">
        <f>1.96*mgmt!I415</f>
        <v>1.0976E-2</v>
      </c>
    </row>
    <row r="204" spans="2:10" x14ac:dyDescent="0.35">
      <c r="B204" s="7">
        <f>mgmt!$A416</f>
        <v>0.70679999999999998</v>
      </c>
      <c r="C204" s="13">
        <f>mgmt!B416</f>
        <v>0.61619999999999997</v>
      </c>
      <c r="D204" s="13">
        <f>1.96*mgmt!C416</f>
        <v>5.6447999999999998E-2</v>
      </c>
      <c r="E204" s="13">
        <f>mgmt!D416</f>
        <v>0.18720000000000001</v>
      </c>
      <c r="F204" s="13">
        <f>1.96*mgmt!E416</f>
        <v>5.2135999999999995E-2</v>
      </c>
      <c r="G204" s="13">
        <f>mgmt!F416</f>
        <v>0.18479999999999999</v>
      </c>
      <c r="H204" s="13">
        <f>1.96*mgmt!G416</f>
        <v>3.9396E-2</v>
      </c>
      <c r="I204" s="13">
        <f>mgmt!H416</f>
        <v>1.18E-2</v>
      </c>
      <c r="J204" s="13">
        <f>1.96*mgmt!I416</f>
        <v>1.1172E-2</v>
      </c>
    </row>
    <row r="205" spans="2:10" x14ac:dyDescent="0.35">
      <c r="B205" s="7">
        <f>mgmt!$A417</f>
        <v>0.71</v>
      </c>
      <c r="C205" s="13">
        <f>mgmt!B417</f>
        <v>0.61539999999999995</v>
      </c>
      <c r="D205" s="13">
        <f>1.96*mgmt!C417</f>
        <v>5.7036000000000003E-2</v>
      </c>
      <c r="E205" s="13">
        <f>mgmt!D417</f>
        <v>0.18759999999999999</v>
      </c>
      <c r="F205" s="13">
        <f>1.96*mgmt!E417</f>
        <v>5.2724E-2</v>
      </c>
      <c r="G205" s="13">
        <f>mgmt!F417</f>
        <v>0.18529999999999999</v>
      </c>
      <c r="H205" s="13">
        <f>1.96*mgmt!G417</f>
        <v>3.9787999999999997E-2</v>
      </c>
      <c r="I205" s="13">
        <f>mgmt!H417</f>
        <v>1.18E-2</v>
      </c>
      <c r="J205" s="13">
        <f>1.96*mgmt!I417</f>
        <v>1.1172E-2</v>
      </c>
    </row>
    <row r="206" spans="2:10" x14ac:dyDescent="0.35">
      <c r="B206" s="7">
        <f>mgmt!$A418</f>
        <v>0.71020000000000005</v>
      </c>
      <c r="C206" s="13">
        <f>mgmt!B418</f>
        <v>0.61529999999999996</v>
      </c>
      <c r="D206" s="13">
        <f>1.96*mgmt!C418</f>
        <v>5.7036000000000003E-2</v>
      </c>
      <c r="E206" s="13">
        <f>mgmt!D418</f>
        <v>0.18759999999999999</v>
      </c>
      <c r="F206" s="13">
        <f>1.96*mgmt!E418</f>
        <v>5.2920000000000002E-2</v>
      </c>
      <c r="G206" s="13">
        <f>mgmt!F418</f>
        <v>0.18529999999999999</v>
      </c>
      <c r="H206" s="13">
        <f>1.96*mgmt!G418</f>
        <v>3.9787999999999997E-2</v>
      </c>
      <c r="I206" s="13">
        <f>mgmt!H418</f>
        <v>1.18E-2</v>
      </c>
      <c r="J206" s="13">
        <f>1.96*mgmt!I418</f>
        <v>1.1172E-2</v>
      </c>
    </row>
    <row r="207" spans="2:10" x14ac:dyDescent="0.35">
      <c r="B207" s="7">
        <f>mgmt!$A419</f>
        <v>0.71340000000000003</v>
      </c>
      <c r="C207" s="13">
        <f>mgmt!B419</f>
        <v>0.61450000000000005</v>
      </c>
      <c r="D207" s="13">
        <f>1.96*mgmt!C419</f>
        <v>5.7819999999999996E-2</v>
      </c>
      <c r="E207" s="13">
        <f>mgmt!D419</f>
        <v>0.188</v>
      </c>
      <c r="F207" s="13">
        <f>1.96*mgmt!E419</f>
        <v>5.3508E-2</v>
      </c>
      <c r="G207" s="13">
        <f>mgmt!F419</f>
        <v>0.18579999999999999</v>
      </c>
      <c r="H207" s="13">
        <f>1.96*mgmt!G419</f>
        <v>4.018E-2</v>
      </c>
      <c r="I207" s="13">
        <f>mgmt!H419</f>
        <v>1.17E-2</v>
      </c>
      <c r="J207" s="13">
        <f>1.96*mgmt!I419</f>
        <v>1.1172E-2</v>
      </c>
    </row>
    <row r="208" spans="2:10" x14ac:dyDescent="0.35">
      <c r="B208" s="7">
        <f>mgmt!$A420</f>
        <v>0.71660000000000001</v>
      </c>
      <c r="C208" s="13">
        <f>mgmt!B420</f>
        <v>0.61370000000000002</v>
      </c>
      <c r="D208" s="13">
        <f>1.96*mgmt!C420</f>
        <v>5.8408000000000002E-2</v>
      </c>
      <c r="E208" s="13">
        <f>mgmt!D420</f>
        <v>0.18840000000000001</v>
      </c>
      <c r="F208" s="13">
        <f>1.96*mgmt!E420</f>
        <v>5.4292E-2</v>
      </c>
      <c r="G208" s="13">
        <f>mgmt!F420</f>
        <v>0.1862</v>
      </c>
      <c r="H208" s="13">
        <f>1.96*mgmt!G420</f>
        <v>4.0571999999999997E-2</v>
      </c>
      <c r="I208" s="13">
        <f>mgmt!H420</f>
        <v>1.17E-2</v>
      </c>
      <c r="J208" s="13">
        <f>1.96*mgmt!I420</f>
        <v>1.1368E-2</v>
      </c>
    </row>
    <row r="209" spans="2:10" x14ac:dyDescent="0.35">
      <c r="B209" s="7">
        <f>mgmt!$A421</f>
        <v>0.71679999999999999</v>
      </c>
      <c r="C209" s="13">
        <f>mgmt!B421</f>
        <v>0.61370000000000002</v>
      </c>
      <c r="D209" s="13">
        <f>1.96*mgmt!C421</f>
        <v>5.8408000000000002E-2</v>
      </c>
      <c r="E209" s="13">
        <f>mgmt!D421</f>
        <v>0.18840000000000001</v>
      </c>
      <c r="F209" s="13">
        <f>1.96*mgmt!E421</f>
        <v>5.4292E-2</v>
      </c>
      <c r="G209" s="13">
        <f>mgmt!F421</f>
        <v>0.18629999999999999</v>
      </c>
      <c r="H209" s="13">
        <f>1.96*mgmt!G421</f>
        <v>4.0571999999999997E-2</v>
      </c>
      <c r="I209" s="13">
        <f>mgmt!H421</f>
        <v>1.17E-2</v>
      </c>
      <c r="J209" s="13">
        <f>1.96*mgmt!I421</f>
        <v>1.1368E-2</v>
      </c>
    </row>
    <row r="210" spans="2:10" x14ac:dyDescent="0.35">
      <c r="B210" s="7">
        <f>mgmt!$A422</f>
        <v>0.72</v>
      </c>
      <c r="C210" s="13">
        <f>mgmt!B422</f>
        <v>0.6129</v>
      </c>
      <c r="D210" s="13">
        <f>1.96*mgmt!C422</f>
        <v>5.8995999999999993E-2</v>
      </c>
      <c r="E210" s="13">
        <f>mgmt!D422</f>
        <v>0.1888</v>
      </c>
      <c r="F210" s="13">
        <f>1.96*mgmt!E422</f>
        <v>5.4879999999999998E-2</v>
      </c>
      <c r="G210" s="13">
        <f>mgmt!F422</f>
        <v>0.1867</v>
      </c>
      <c r="H210" s="13">
        <f>1.96*mgmt!G422</f>
        <v>4.0963999999999993E-2</v>
      </c>
      <c r="I210" s="13">
        <f>mgmt!H422</f>
        <v>1.1599999999999999E-2</v>
      </c>
      <c r="J210" s="13">
        <f>1.96*mgmt!I422</f>
        <v>1.1368E-2</v>
      </c>
    </row>
    <row r="211" spans="2:10" x14ac:dyDescent="0.35">
      <c r="B211" s="7">
        <f>mgmt!$A423</f>
        <v>0.72660000000000002</v>
      </c>
      <c r="C211" s="13">
        <f>mgmt!B423</f>
        <v>0.61119999999999997</v>
      </c>
      <c r="D211" s="13">
        <f>1.96*mgmt!C423</f>
        <v>6.0367999999999998E-2</v>
      </c>
      <c r="E211" s="13">
        <f>mgmt!D423</f>
        <v>0.18959999999999999</v>
      </c>
      <c r="F211" s="13">
        <f>1.96*mgmt!E423</f>
        <v>5.6447999999999998E-2</v>
      </c>
      <c r="G211" s="13">
        <f>mgmt!F423</f>
        <v>0.18770000000000001</v>
      </c>
      <c r="H211" s="13">
        <f>1.96*mgmt!G423</f>
        <v>4.1943999999999995E-2</v>
      </c>
      <c r="I211" s="13">
        <f>mgmt!H423</f>
        <v>1.15E-2</v>
      </c>
      <c r="J211" s="13">
        <f>1.96*mgmt!I423</f>
        <v>1.1564E-2</v>
      </c>
    </row>
    <row r="212" spans="2:10" x14ac:dyDescent="0.35">
      <c r="B212" s="7">
        <f>mgmt!$A424</f>
        <v>0.7268</v>
      </c>
      <c r="C212" s="13">
        <f>mgmt!B424</f>
        <v>0.61119999999999997</v>
      </c>
      <c r="D212" s="13">
        <f>1.96*mgmt!C424</f>
        <v>6.0367999999999998E-2</v>
      </c>
      <c r="E212" s="13">
        <f>mgmt!D424</f>
        <v>0.18970000000000001</v>
      </c>
      <c r="F212" s="13">
        <f>1.96*mgmt!E424</f>
        <v>5.6447999999999998E-2</v>
      </c>
      <c r="G212" s="13">
        <f>mgmt!F424</f>
        <v>0.18770000000000001</v>
      </c>
      <c r="H212" s="13">
        <f>1.96*mgmt!G424</f>
        <v>4.1943999999999995E-2</v>
      </c>
      <c r="I212" s="13">
        <f>mgmt!H424</f>
        <v>1.15E-2</v>
      </c>
      <c r="J212" s="13">
        <f>1.96*mgmt!I424</f>
        <v>1.1564E-2</v>
      </c>
    </row>
    <row r="213" spans="2:10" x14ac:dyDescent="0.35">
      <c r="B213" s="7">
        <f>mgmt!$A425</f>
        <v>0.73</v>
      </c>
      <c r="C213" s="13">
        <f>mgmt!B425</f>
        <v>0.61040000000000005</v>
      </c>
      <c r="D213" s="13">
        <f>1.96*mgmt!C425</f>
        <v>6.0955999999999996E-2</v>
      </c>
      <c r="E213" s="13">
        <f>mgmt!D425</f>
        <v>0.19</v>
      </c>
      <c r="F213" s="13">
        <f>1.96*mgmt!E425</f>
        <v>5.7231999999999998E-2</v>
      </c>
      <c r="G213" s="13">
        <f>mgmt!F425</f>
        <v>0.18820000000000001</v>
      </c>
      <c r="H213" s="13">
        <f>1.96*mgmt!G425</f>
        <v>4.2335999999999999E-2</v>
      </c>
      <c r="I213" s="13">
        <f>mgmt!H425</f>
        <v>1.14E-2</v>
      </c>
      <c r="J213" s="13">
        <f>1.96*mgmt!I425</f>
        <v>1.1564E-2</v>
      </c>
    </row>
    <row r="214" spans="2:10" x14ac:dyDescent="0.35">
      <c r="B214" s="7">
        <f>mgmt!$A426</f>
        <v>0.73319999999999996</v>
      </c>
      <c r="C214" s="13">
        <f>mgmt!B426</f>
        <v>0.60960000000000003</v>
      </c>
      <c r="D214" s="13">
        <f>1.96*mgmt!C426</f>
        <v>6.1543999999999995E-2</v>
      </c>
      <c r="E214" s="13">
        <f>mgmt!D426</f>
        <v>0.19040000000000001</v>
      </c>
      <c r="F214" s="13">
        <f>1.96*mgmt!E426</f>
        <v>5.7819999999999996E-2</v>
      </c>
      <c r="G214" s="13">
        <f>mgmt!F426</f>
        <v>0.18870000000000001</v>
      </c>
      <c r="H214" s="13">
        <f>1.96*mgmt!G426</f>
        <v>4.2728000000000002E-2</v>
      </c>
      <c r="I214" s="13">
        <f>mgmt!H426</f>
        <v>1.1299999999999999E-2</v>
      </c>
      <c r="J214" s="13">
        <f>1.96*mgmt!I426</f>
        <v>1.1564E-2</v>
      </c>
    </row>
    <row r="215" spans="2:10" x14ac:dyDescent="0.35">
      <c r="B215" s="7">
        <f>mgmt!$A427</f>
        <v>0.73340000000000005</v>
      </c>
      <c r="C215" s="13">
        <f>mgmt!B427</f>
        <v>0.60950000000000004</v>
      </c>
      <c r="D215" s="13">
        <f>1.96*mgmt!C427</f>
        <v>6.1739999999999996E-2</v>
      </c>
      <c r="E215" s="13">
        <f>mgmt!D427</f>
        <v>0.1905</v>
      </c>
      <c r="F215" s="13">
        <f>1.96*mgmt!E427</f>
        <v>5.7819999999999996E-2</v>
      </c>
      <c r="G215" s="13">
        <f>mgmt!F427</f>
        <v>0.18870000000000001</v>
      </c>
      <c r="H215" s="13">
        <f>1.96*mgmt!G427</f>
        <v>4.2728000000000002E-2</v>
      </c>
      <c r="I215" s="13">
        <f>mgmt!H427</f>
        <v>1.1299999999999999E-2</v>
      </c>
      <c r="J215" s="13">
        <f>1.96*mgmt!I427</f>
        <v>1.1564E-2</v>
      </c>
    </row>
    <row r="216" spans="2:10" x14ac:dyDescent="0.35">
      <c r="B216" s="7">
        <f>mgmt!$A428</f>
        <v>0.73660000000000003</v>
      </c>
      <c r="C216" s="13">
        <f>mgmt!B428</f>
        <v>0.60870000000000002</v>
      </c>
      <c r="D216" s="13">
        <f>1.96*mgmt!C428</f>
        <v>6.2328000000000001E-2</v>
      </c>
      <c r="E216" s="13">
        <f>mgmt!D428</f>
        <v>0.19089999999999999</v>
      </c>
      <c r="F216" s="13">
        <f>1.96*mgmt!E428</f>
        <v>5.8603999999999996E-2</v>
      </c>
      <c r="G216" s="13">
        <f>mgmt!F428</f>
        <v>0.18920000000000001</v>
      </c>
      <c r="H216" s="13">
        <f>1.96*mgmt!G428</f>
        <v>4.3119999999999999E-2</v>
      </c>
      <c r="I216" s="13">
        <f>mgmt!H428</f>
        <v>1.1299999999999999E-2</v>
      </c>
      <c r="J216" s="13">
        <f>1.96*mgmt!I428</f>
        <v>1.176E-2</v>
      </c>
    </row>
    <row r="217" spans="2:10" x14ac:dyDescent="0.35">
      <c r="B217" s="7">
        <f>mgmt!$A429</f>
        <v>0.73680000000000001</v>
      </c>
      <c r="C217" s="13">
        <f>mgmt!B429</f>
        <v>0.60860000000000003</v>
      </c>
      <c r="D217" s="13">
        <f>1.96*mgmt!C429</f>
        <v>6.2328000000000001E-2</v>
      </c>
      <c r="E217" s="13">
        <f>mgmt!D429</f>
        <v>0.19089999999999999</v>
      </c>
      <c r="F217" s="13">
        <f>1.96*mgmt!E429</f>
        <v>5.8603999999999996E-2</v>
      </c>
      <c r="G217" s="13">
        <f>mgmt!F429</f>
        <v>0.18920000000000001</v>
      </c>
      <c r="H217" s="13">
        <f>1.96*mgmt!G429</f>
        <v>4.3119999999999999E-2</v>
      </c>
      <c r="I217" s="13">
        <f>mgmt!H429</f>
        <v>1.1299999999999999E-2</v>
      </c>
      <c r="J217" s="13">
        <f>1.96*mgmt!I429</f>
        <v>1.176E-2</v>
      </c>
    </row>
    <row r="218" spans="2:10" x14ac:dyDescent="0.35">
      <c r="B218" s="7">
        <f>mgmt!$A430</f>
        <v>0.74339999999999995</v>
      </c>
      <c r="C218" s="13">
        <f>mgmt!B430</f>
        <v>0.60699999999999998</v>
      </c>
      <c r="D218" s="13">
        <f>1.96*mgmt!C430</f>
        <v>6.3700000000000007E-2</v>
      </c>
      <c r="E218" s="13">
        <f>mgmt!D430</f>
        <v>0.19170000000000001</v>
      </c>
      <c r="F218" s="13">
        <f>1.96*mgmt!E430</f>
        <v>6.0172000000000003E-2</v>
      </c>
      <c r="G218" s="13">
        <f>mgmt!F430</f>
        <v>0.19020000000000001</v>
      </c>
      <c r="H218" s="13">
        <f>1.96*mgmt!G430</f>
        <v>4.41E-2</v>
      </c>
      <c r="I218" s="13">
        <f>mgmt!H430</f>
        <v>1.11E-2</v>
      </c>
      <c r="J218" s="13">
        <f>1.96*mgmt!I430</f>
        <v>1.176E-2</v>
      </c>
    </row>
    <row r="219" spans="2:10" x14ac:dyDescent="0.35">
      <c r="B219" s="7">
        <f>mgmt!$A431</f>
        <v>0.74660000000000004</v>
      </c>
      <c r="C219" s="13">
        <f>mgmt!B431</f>
        <v>0.60619999999999996</v>
      </c>
      <c r="D219" s="13">
        <f>1.96*mgmt!C431</f>
        <v>6.4287999999999998E-2</v>
      </c>
      <c r="E219" s="13">
        <f>mgmt!D431</f>
        <v>0.19209999999999999</v>
      </c>
      <c r="F219" s="13">
        <f>1.96*mgmt!E431</f>
        <v>6.0955999999999996E-2</v>
      </c>
      <c r="G219" s="13">
        <f>mgmt!F431</f>
        <v>0.19059999999999999</v>
      </c>
      <c r="H219" s="13">
        <f>1.96*mgmt!G431</f>
        <v>4.4492000000000004E-2</v>
      </c>
      <c r="I219" s="13">
        <f>mgmt!H431</f>
        <v>1.11E-2</v>
      </c>
      <c r="J219" s="13">
        <f>1.96*mgmt!I431</f>
        <v>1.1956000000000001E-2</v>
      </c>
    </row>
    <row r="220" spans="2:10" x14ac:dyDescent="0.35">
      <c r="B220" s="7">
        <f>mgmt!$A432</f>
        <v>0.74680000000000002</v>
      </c>
      <c r="C220" s="13">
        <f>mgmt!B432</f>
        <v>0.60609999999999997</v>
      </c>
      <c r="D220" s="13">
        <f>1.96*mgmt!C432</f>
        <v>6.4484E-2</v>
      </c>
      <c r="E220" s="13">
        <f>mgmt!D432</f>
        <v>0.19209999999999999</v>
      </c>
      <c r="F220" s="13">
        <f>1.96*mgmt!E432</f>
        <v>6.0955999999999996E-2</v>
      </c>
      <c r="G220" s="13">
        <f>mgmt!F432</f>
        <v>0.19070000000000001</v>
      </c>
      <c r="H220" s="13">
        <f>1.96*mgmt!G432</f>
        <v>4.4492000000000004E-2</v>
      </c>
      <c r="I220" s="13">
        <f>mgmt!H432</f>
        <v>1.11E-2</v>
      </c>
      <c r="J220" s="13">
        <f>1.96*mgmt!I432</f>
        <v>1.1956000000000001E-2</v>
      </c>
    </row>
    <row r="221" spans="2:10" x14ac:dyDescent="0.35">
      <c r="B221" s="7">
        <f>mgmt!$A433</f>
        <v>0.75</v>
      </c>
      <c r="C221" s="13">
        <f>mgmt!B433</f>
        <v>0.60529999999999995</v>
      </c>
      <c r="D221" s="13">
        <f>1.96*mgmt!C433</f>
        <v>6.5072000000000005E-2</v>
      </c>
      <c r="E221" s="13">
        <f>mgmt!D433</f>
        <v>0.1925</v>
      </c>
      <c r="F221" s="13">
        <f>1.96*mgmt!E433</f>
        <v>6.1739999999999996E-2</v>
      </c>
      <c r="G221" s="13">
        <f>mgmt!F433</f>
        <v>0.19120000000000001</v>
      </c>
      <c r="H221" s="13">
        <f>1.96*mgmt!G433</f>
        <v>4.4884E-2</v>
      </c>
      <c r="I221" s="13">
        <f>mgmt!H433</f>
        <v>1.0999999999999999E-2</v>
      </c>
      <c r="J221" s="13">
        <f>1.96*mgmt!I433</f>
        <v>1.1956000000000001E-2</v>
      </c>
    </row>
    <row r="222" spans="2:10" x14ac:dyDescent="0.35">
      <c r="B222" s="7">
        <f>mgmt!$A434</f>
        <v>0.75019999999999998</v>
      </c>
      <c r="C222" s="13">
        <f>mgmt!B434</f>
        <v>0.60529999999999995</v>
      </c>
      <c r="D222" s="13">
        <f>1.96*mgmt!C434</f>
        <v>6.5072000000000005E-2</v>
      </c>
      <c r="E222" s="13">
        <f>mgmt!D434</f>
        <v>0.1925</v>
      </c>
      <c r="F222" s="13">
        <f>1.96*mgmt!E434</f>
        <v>6.1739999999999996E-2</v>
      </c>
      <c r="G222" s="13">
        <f>mgmt!F434</f>
        <v>0.19120000000000001</v>
      </c>
      <c r="H222" s="13">
        <f>1.96*mgmt!G434</f>
        <v>4.4884E-2</v>
      </c>
      <c r="I222" s="13">
        <f>mgmt!H434</f>
        <v>1.0999999999999999E-2</v>
      </c>
      <c r="J222" s="13">
        <f>1.96*mgmt!I434</f>
        <v>1.1956000000000001E-2</v>
      </c>
    </row>
    <row r="223" spans="2:10" x14ac:dyDescent="0.35">
      <c r="B223" s="7">
        <f>mgmt!$A435</f>
        <v>0.76</v>
      </c>
      <c r="C223" s="13">
        <f>mgmt!B435</f>
        <v>0.6028</v>
      </c>
      <c r="D223" s="13">
        <f>1.96*mgmt!C435</f>
        <v>6.7227999999999996E-2</v>
      </c>
      <c r="E223" s="13">
        <f>mgmt!D435</f>
        <v>0.1938</v>
      </c>
      <c r="F223" s="13">
        <f>1.96*mgmt!E435</f>
        <v>6.4091999999999996E-2</v>
      </c>
      <c r="G223" s="13">
        <f>mgmt!F435</f>
        <v>0.19259999999999999</v>
      </c>
      <c r="H223" s="13">
        <f>1.96*mgmt!G435</f>
        <v>4.6255999999999999E-2</v>
      </c>
      <c r="I223" s="13">
        <f>mgmt!H435</f>
        <v>1.0800000000000001E-2</v>
      </c>
      <c r="J223" s="13">
        <f>1.96*mgmt!I435</f>
        <v>1.2152E-2</v>
      </c>
    </row>
    <row r="224" spans="2:10" x14ac:dyDescent="0.35">
      <c r="B224" s="7">
        <f>mgmt!$A436</f>
        <v>0.76019999999999999</v>
      </c>
      <c r="C224" s="13">
        <f>mgmt!B436</f>
        <v>0.60270000000000001</v>
      </c>
      <c r="D224" s="13">
        <f>1.96*mgmt!C436</f>
        <v>6.7227999999999996E-2</v>
      </c>
      <c r="E224" s="13">
        <f>mgmt!D436</f>
        <v>0.1938</v>
      </c>
      <c r="F224" s="13">
        <f>1.96*mgmt!E436</f>
        <v>6.4091999999999996E-2</v>
      </c>
      <c r="G224" s="13">
        <f>mgmt!F436</f>
        <v>0.19270000000000001</v>
      </c>
      <c r="H224" s="13">
        <f>1.96*mgmt!G436</f>
        <v>4.6452E-2</v>
      </c>
      <c r="I224" s="13">
        <f>mgmt!H436</f>
        <v>1.0800000000000001E-2</v>
      </c>
      <c r="J224" s="13">
        <f>1.96*mgmt!I436</f>
        <v>1.2152E-2</v>
      </c>
    </row>
    <row r="225" spans="2:10" x14ac:dyDescent="0.35">
      <c r="B225" s="7">
        <f>mgmt!$A437</f>
        <v>0.76339999999999997</v>
      </c>
      <c r="C225" s="13">
        <f>mgmt!B437</f>
        <v>0.60189999999999999</v>
      </c>
      <c r="D225" s="13">
        <f>1.96*mgmt!C437</f>
        <v>6.7816000000000001E-2</v>
      </c>
      <c r="E225" s="13">
        <f>mgmt!D437</f>
        <v>0.19420000000000001</v>
      </c>
      <c r="F225" s="13">
        <f>1.96*mgmt!E437</f>
        <v>6.4875999999999989E-2</v>
      </c>
      <c r="G225" s="13">
        <f>mgmt!F437</f>
        <v>0.19309999999999999</v>
      </c>
      <c r="H225" s="13">
        <f>1.96*mgmt!G437</f>
        <v>4.6844000000000004E-2</v>
      </c>
      <c r="I225" s="13">
        <f>mgmt!H437</f>
        <v>1.0800000000000001E-2</v>
      </c>
      <c r="J225" s="13">
        <f>1.96*mgmt!I437</f>
        <v>1.2152E-2</v>
      </c>
    </row>
    <row r="226" spans="2:10" x14ac:dyDescent="0.35">
      <c r="B226" s="7">
        <f>mgmt!$A438</f>
        <v>0.76659999999999995</v>
      </c>
      <c r="C226" s="13">
        <f>mgmt!B438</f>
        <v>0.60109999999999997</v>
      </c>
      <c r="D226" s="13">
        <f>1.96*mgmt!C438</f>
        <v>6.8600000000000008E-2</v>
      </c>
      <c r="E226" s="13">
        <f>mgmt!D438</f>
        <v>0.1946</v>
      </c>
      <c r="F226" s="13">
        <f>1.96*mgmt!E438</f>
        <v>6.5659999999999996E-2</v>
      </c>
      <c r="G226" s="13">
        <f>mgmt!F438</f>
        <v>0.19359999999999999</v>
      </c>
      <c r="H226" s="13">
        <f>1.96*mgmt!G438</f>
        <v>4.7236E-2</v>
      </c>
      <c r="I226" s="13">
        <f>mgmt!H438</f>
        <v>1.0699999999999999E-2</v>
      </c>
      <c r="J226" s="13">
        <f>1.96*mgmt!I438</f>
        <v>1.2152E-2</v>
      </c>
    </row>
    <row r="227" spans="2:10" x14ac:dyDescent="0.35">
      <c r="B227" s="7">
        <f>mgmt!$A439</f>
        <v>0.76680000000000004</v>
      </c>
      <c r="C227" s="13">
        <f>mgmt!B439</f>
        <v>0.60099999999999998</v>
      </c>
      <c r="D227" s="13">
        <f>1.96*mgmt!C439</f>
        <v>6.8600000000000008E-2</v>
      </c>
      <c r="E227" s="13">
        <f>mgmt!D439</f>
        <v>0.1946</v>
      </c>
      <c r="F227" s="13">
        <f>1.96*mgmt!E439</f>
        <v>6.5659999999999996E-2</v>
      </c>
      <c r="G227" s="13">
        <f>mgmt!F439</f>
        <v>0.19359999999999999</v>
      </c>
      <c r="H227" s="13">
        <f>1.96*mgmt!G439</f>
        <v>4.7236E-2</v>
      </c>
      <c r="I227" s="13">
        <f>mgmt!H439</f>
        <v>1.0699999999999999E-2</v>
      </c>
      <c r="J227" s="13">
        <f>1.96*mgmt!I439</f>
        <v>1.2152E-2</v>
      </c>
    </row>
    <row r="228" spans="2:10" x14ac:dyDescent="0.35">
      <c r="B228" s="7">
        <f>mgmt!$A440</f>
        <v>0.77339999999999998</v>
      </c>
      <c r="C228" s="13">
        <f>mgmt!B440</f>
        <v>0.59940000000000004</v>
      </c>
      <c r="D228" s="13">
        <f>1.96*mgmt!C440</f>
        <v>6.9972000000000006E-2</v>
      </c>
      <c r="E228" s="13">
        <f>mgmt!D440</f>
        <v>0.19539999999999999</v>
      </c>
      <c r="F228" s="13">
        <f>1.96*mgmt!E440</f>
        <v>6.7227999999999996E-2</v>
      </c>
      <c r="G228" s="13">
        <f>mgmt!F440</f>
        <v>0.1946</v>
      </c>
      <c r="H228" s="13">
        <f>1.96*mgmt!G440</f>
        <v>4.8216000000000002E-2</v>
      </c>
      <c r="I228" s="13">
        <f>mgmt!H440</f>
        <v>1.06E-2</v>
      </c>
      <c r="J228" s="13">
        <f>1.96*mgmt!I440</f>
        <v>1.2348E-2</v>
      </c>
    </row>
    <row r="229" spans="2:10" x14ac:dyDescent="0.35">
      <c r="B229" s="7">
        <f>mgmt!$A441</f>
        <v>0.77659999999999996</v>
      </c>
      <c r="C229" s="13">
        <f>mgmt!B441</f>
        <v>0.59850000000000003</v>
      </c>
      <c r="D229" s="13">
        <f>1.96*mgmt!C441</f>
        <v>7.0755999999999999E-2</v>
      </c>
      <c r="E229" s="13">
        <f>mgmt!D441</f>
        <v>0.1958</v>
      </c>
      <c r="F229" s="13">
        <f>1.96*mgmt!E441</f>
        <v>6.8012000000000003E-2</v>
      </c>
      <c r="G229" s="13">
        <f>mgmt!F441</f>
        <v>0.1951</v>
      </c>
      <c r="H229" s="13">
        <f>1.96*mgmt!G441</f>
        <v>4.8803999999999993E-2</v>
      </c>
      <c r="I229" s="13">
        <f>mgmt!H441</f>
        <v>1.0500000000000001E-2</v>
      </c>
      <c r="J229" s="13">
        <f>1.96*mgmt!I441</f>
        <v>1.2348E-2</v>
      </c>
    </row>
    <row r="230" spans="2:10" x14ac:dyDescent="0.35">
      <c r="B230" s="7">
        <f>mgmt!$A442</f>
        <v>0.77680000000000005</v>
      </c>
      <c r="C230" s="13">
        <f>mgmt!B442</f>
        <v>0.59850000000000003</v>
      </c>
      <c r="D230" s="13">
        <f>1.96*mgmt!C442</f>
        <v>7.0755999999999999E-2</v>
      </c>
      <c r="E230" s="13">
        <f>mgmt!D442</f>
        <v>0.1958</v>
      </c>
      <c r="F230" s="13">
        <f>1.96*mgmt!E442</f>
        <v>6.8207999999999991E-2</v>
      </c>
      <c r="G230" s="13">
        <f>mgmt!F442</f>
        <v>0.1951</v>
      </c>
      <c r="H230" s="13">
        <f>1.96*mgmt!G442</f>
        <v>4.8803999999999993E-2</v>
      </c>
      <c r="I230" s="13">
        <f>mgmt!H442</f>
        <v>1.0500000000000001E-2</v>
      </c>
      <c r="J230" s="13">
        <f>1.96*mgmt!I442</f>
        <v>1.2348E-2</v>
      </c>
    </row>
    <row r="231" spans="2:10" x14ac:dyDescent="0.35">
      <c r="B231" s="7">
        <f>mgmt!$A443</f>
        <v>0.78</v>
      </c>
      <c r="C231" s="13">
        <f>mgmt!B443</f>
        <v>0.59770000000000001</v>
      </c>
      <c r="D231" s="13">
        <f>1.96*mgmt!C443</f>
        <v>7.1539999999999992E-2</v>
      </c>
      <c r="E231" s="13">
        <f>mgmt!D443</f>
        <v>0.19620000000000001</v>
      </c>
      <c r="F231" s="13">
        <f>1.96*mgmt!E443</f>
        <v>6.8991999999999998E-2</v>
      </c>
      <c r="G231" s="13">
        <f>mgmt!F443</f>
        <v>0.1956</v>
      </c>
      <c r="H231" s="13">
        <f>1.96*mgmt!G443</f>
        <v>4.9196000000000004E-2</v>
      </c>
      <c r="I231" s="13">
        <f>mgmt!H443</f>
        <v>1.0500000000000001E-2</v>
      </c>
      <c r="J231" s="13">
        <f>1.96*mgmt!I443</f>
        <v>1.2348E-2</v>
      </c>
    </row>
    <row r="232" spans="2:10" x14ac:dyDescent="0.35">
      <c r="B232" s="7">
        <f>mgmt!$A444</f>
        <v>0.78339999999999999</v>
      </c>
      <c r="C232" s="13">
        <f>mgmt!B444</f>
        <v>0.5968</v>
      </c>
      <c r="D232" s="13">
        <f>1.96*mgmt!C444</f>
        <v>7.2323999999999999E-2</v>
      </c>
      <c r="E232" s="13">
        <f>mgmt!D444</f>
        <v>0.1966</v>
      </c>
      <c r="F232" s="13">
        <f>1.96*mgmt!E444</f>
        <v>6.9776000000000005E-2</v>
      </c>
      <c r="G232" s="13">
        <f>mgmt!F444</f>
        <v>0.1961</v>
      </c>
      <c r="H232" s="13">
        <f>1.96*mgmt!G444</f>
        <v>4.9783999999999995E-2</v>
      </c>
      <c r="I232" s="13">
        <f>mgmt!H444</f>
        <v>1.04E-2</v>
      </c>
      <c r="J232" s="13">
        <f>1.96*mgmt!I444</f>
        <v>1.2544E-2</v>
      </c>
    </row>
    <row r="233" spans="2:10" x14ac:dyDescent="0.35">
      <c r="B233" s="7">
        <f>mgmt!$A445</f>
        <v>0.78659999999999997</v>
      </c>
      <c r="C233" s="13">
        <f>mgmt!B445</f>
        <v>0.59599999999999997</v>
      </c>
      <c r="D233" s="13">
        <f>1.96*mgmt!C445</f>
        <v>7.2911999999999991E-2</v>
      </c>
      <c r="E233" s="13">
        <f>mgmt!D445</f>
        <v>0.19700000000000001</v>
      </c>
      <c r="F233" s="13">
        <f>1.96*mgmt!E445</f>
        <v>7.0559999999999998E-2</v>
      </c>
      <c r="G233" s="13">
        <f>mgmt!F445</f>
        <v>0.1966</v>
      </c>
      <c r="H233" s="13">
        <f>1.96*mgmt!G445</f>
        <v>5.0175999999999998E-2</v>
      </c>
      <c r="I233" s="13">
        <f>mgmt!H445</f>
        <v>1.04E-2</v>
      </c>
      <c r="J233" s="13">
        <f>1.96*mgmt!I445</f>
        <v>1.2544E-2</v>
      </c>
    </row>
    <row r="234" spans="2:10" x14ac:dyDescent="0.35">
      <c r="B234" s="7">
        <f>mgmt!$A446</f>
        <v>0.78680000000000005</v>
      </c>
      <c r="C234" s="13">
        <f>mgmt!B446</f>
        <v>0.59589999999999999</v>
      </c>
      <c r="D234" s="13">
        <f>1.96*mgmt!C446</f>
        <v>7.2911999999999991E-2</v>
      </c>
      <c r="E234" s="13">
        <f>mgmt!D446</f>
        <v>0.1971</v>
      </c>
      <c r="F234" s="13">
        <f>1.96*mgmt!E446</f>
        <v>7.0559999999999998E-2</v>
      </c>
      <c r="G234" s="13">
        <f>mgmt!F446</f>
        <v>0.1966</v>
      </c>
      <c r="H234" s="13">
        <f>1.96*mgmt!G446</f>
        <v>5.0175999999999998E-2</v>
      </c>
      <c r="I234" s="13">
        <f>mgmt!H446</f>
        <v>1.04E-2</v>
      </c>
      <c r="J234" s="13">
        <f>1.96*mgmt!I446</f>
        <v>1.2544E-2</v>
      </c>
    </row>
    <row r="235" spans="2:10" x14ac:dyDescent="0.35">
      <c r="B235" s="7">
        <f>mgmt!$A447</f>
        <v>0.79339999999999999</v>
      </c>
      <c r="C235" s="13">
        <f>mgmt!B447</f>
        <v>0.59419999999999995</v>
      </c>
      <c r="D235" s="13">
        <f>1.96*mgmt!C447</f>
        <v>7.4479999999999991E-2</v>
      </c>
      <c r="E235" s="13">
        <f>mgmt!D447</f>
        <v>0.19789999999999999</v>
      </c>
      <c r="F235" s="13">
        <f>1.96*mgmt!E447</f>
        <v>7.2323999999999999E-2</v>
      </c>
      <c r="G235" s="13">
        <f>mgmt!F447</f>
        <v>0.1976</v>
      </c>
      <c r="H235" s="13">
        <f>1.96*mgmt!G447</f>
        <v>5.1156E-2</v>
      </c>
      <c r="I235" s="13">
        <f>mgmt!H447</f>
        <v>1.03E-2</v>
      </c>
      <c r="J235" s="13">
        <f>1.96*mgmt!I447</f>
        <v>1.274E-2</v>
      </c>
    </row>
    <row r="236" spans="2:10" x14ac:dyDescent="0.35">
      <c r="B236" s="7">
        <f>mgmt!$A448</f>
        <v>0.8</v>
      </c>
      <c r="C236" s="13">
        <f>mgmt!B448</f>
        <v>0.59250000000000003</v>
      </c>
      <c r="D236" s="13">
        <f>1.96*mgmt!C448</f>
        <v>7.5851999999999989E-2</v>
      </c>
      <c r="E236" s="13">
        <f>mgmt!D448</f>
        <v>0.19869999999999999</v>
      </c>
      <c r="F236" s="13">
        <f>1.96*mgmt!E448</f>
        <v>7.4088000000000001E-2</v>
      </c>
      <c r="G236" s="13">
        <f>mgmt!F448</f>
        <v>0.1986</v>
      </c>
      <c r="H236" s="13">
        <f>1.96*mgmt!G448</f>
        <v>5.2332000000000004E-2</v>
      </c>
      <c r="I236" s="13">
        <f>mgmt!H448</f>
        <v>1.01E-2</v>
      </c>
      <c r="J236" s="13">
        <f>1.96*mgmt!I448</f>
        <v>1.274E-2</v>
      </c>
    </row>
    <row r="237" spans="2:10" x14ac:dyDescent="0.35">
      <c r="B237" s="7">
        <f>mgmt!$A449</f>
        <v>0.80020000000000002</v>
      </c>
      <c r="C237" s="13">
        <f>mgmt!B449</f>
        <v>0.59250000000000003</v>
      </c>
      <c r="D237" s="13">
        <f>1.96*mgmt!C449</f>
        <v>7.6048000000000004E-2</v>
      </c>
      <c r="E237" s="13">
        <f>mgmt!D449</f>
        <v>0.19869999999999999</v>
      </c>
      <c r="F237" s="13">
        <f>1.96*mgmt!E449</f>
        <v>7.4088000000000001E-2</v>
      </c>
      <c r="G237" s="13">
        <f>mgmt!F449</f>
        <v>0.19869999999999999</v>
      </c>
      <c r="H237" s="13">
        <f>1.96*mgmt!G449</f>
        <v>5.2332000000000004E-2</v>
      </c>
      <c r="I237" s="13">
        <f>mgmt!H449</f>
        <v>1.01E-2</v>
      </c>
      <c r="J237" s="13">
        <f>1.96*mgmt!I449</f>
        <v>1.274E-2</v>
      </c>
    </row>
    <row r="238" spans="2:10" x14ac:dyDescent="0.35">
      <c r="B238" s="7">
        <f>mgmt!$A450</f>
        <v>0.8034</v>
      </c>
      <c r="C238" s="13">
        <f>mgmt!B450</f>
        <v>0.59160000000000001</v>
      </c>
      <c r="D238" s="13">
        <f>1.96*mgmt!C450</f>
        <v>7.663600000000001E-2</v>
      </c>
      <c r="E238" s="13">
        <f>mgmt!D450</f>
        <v>0.1991</v>
      </c>
      <c r="F238" s="13">
        <f>1.96*mgmt!E450</f>
        <v>7.4871999999999994E-2</v>
      </c>
      <c r="G238" s="13">
        <f>mgmt!F450</f>
        <v>0.1991</v>
      </c>
      <c r="H238" s="13">
        <f>1.96*mgmt!G450</f>
        <v>5.2724E-2</v>
      </c>
      <c r="I238" s="13">
        <f>mgmt!H450</f>
        <v>1.01E-2</v>
      </c>
      <c r="J238" s="13">
        <f>1.96*mgmt!I450</f>
        <v>1.274E-2</v>
      </c>
    </row>
    <row r="239" spans="2:10" x14ac:dyDescent="0.35">
      <c r="B239" s="7">
        <f>mgmt!$A451</f>
        <v>0.81</v>
      </c>
      <c r="C239" s="13">
        <f>mgmt!B451</f>
        <v>0.58989999999999998</v>
      </c>
      <c r="D239" s="13">
        <f>1.96*mgmt!C451</f>
        <v>7.8203999999999996E-2</v>
      </c>
      <c r="E239" s="13">
        <f>mgmt!D451</f>
        <v>0.19989999999999999</v>
      </c>
      <c r="F239" s="13">
        <f>1.96*mgmt!E451</f>
        <v>7.663600000000001E-2</v>
      </c>
      <c r="G239" s="13">
        <f>mgmt!F451</f>
        <v>0.2001</v>
      </c>
      <c r="H239" s="13">
        <f>1.96*mgmt!G451</f>
        <v>5.3899999999999997E-2</v>
      </c>
      <c r="I239" s="13">
        <f>mgmt!H451</f>
        <v>0.01</v>
      </c>
      <c r="J239" s="13">
        <f>1.96*mgmt!I451</f>
        <v>1.2936E-2</v>
      </c>
    </row>
    <row r="240" spans="2:10" x14ac:dyDescent="0.35">
      <c r="B240" s="7">
        <f>mgmt!$A452</f>
        <v>0.81340000000000001</v>
      </c>
      <c r="C240" s="13">
        <f>mgmt!B452</f>
        <v>0.58909999999999996</v>
      </c>
      <c r="D240" s="13">
        <f>1.96*mgmt!C452</f>
        <v>7.8988000000000003E-2</v>
      </c>
      <c r="E240" s="13">
        <f>mgmt!D452</f>
        <v>0.20039999999999999</v>
      </c>
      <c r="F240" s="13">
        <f>1.96*mgmt!E452</f>
        <v>7.7420000000000003E-2</v>
      </c>
      <c r="G240" s="13">
        <f>mgmt!F452</f>
        <v>0.20069999999999999</v>
      </c>
      <c r="H240" s="13">
        <f>1.96*mgmt!G452</f>
        <v>5.4292E-2</v>
      </c>
      <c r="I240" s="13">
        <f>mgmt!H452</f>
        <v>9.9000000000000008E-3</v>
      </c>
      <c r="J240" s="13">
        <f>1.96*mgmt!I452</f>
        <v>1.2936E-2</v>
      </c>
    </row>
    <row r="241" spans="2:10" x14ac:dyDescent="0.35">
      <c r="B241" s="7">
        <f>mgmt!$A453</f>
        <v>0.81659999999999999</v>
      </c>
      <c r="C241" s="13">
        <f>mgmt!B453</f>
        <v>0.58819999999999995</v>
      </c>
      <c r="D241" s="13">
        <f>1.96*mgmt!C453</f>
        <v>7.9771999999999996E-2</v>
      </c>
      <c r="E241" s="13">
        <f>mgmt!D453</f>
        <v>0.20080000000000001</v>
      </c>
      <c r="F241" s="13">
        <f>1.96*mgmt!E453</f>
        <v>7.8399999999999997E-2</v>
      </c>
      <c r="G241" s="13">
        <f>mgmt!F453</f>
        <v>0.2011</v>
      </c>
      <c r="H241" s="13">
        <f>1.96*mgmt!G453</f>
        <v>5.4879999999999998E-2</v>
      </c>
      <c r="I241" s="13">
        <f>mgmt!H453</f>
        <v>9.9000000000000008E-3</v>
      </c>
      <c r="J241" s="13">
        <f>1.96*mgmt!I453</f>
        <v>1.2936E-2</v>
      </c>
    </row>
    <row r="242" spans="2:10" x14ac:dyDescent="0.35">
      <c r="B242" s="7">
        <f>mgmt!$A454</f>
        <v>0.81679999999999997</v>
      </c>
      <c r="C242" s="13">
        <f>mgmt!B454</f>
        <v>0.58819999999999995</v>
      </c>
      <c r="D242" s="13">
        <f>1.96*mgmt!C454</f>
        <v>7.9771999999999996E-2</v>
      </c>
      <c r="E242" s="13">
        <f>mgmt!D454</f>
        <v>0.20080000000000001</v>
      </c>
      <c r="F242" s="13">
        <f>1.96*mgmt!E454</f>
        <v>7.8399999999999997E-2</v>
      </c>
      <c r="G242" s="13">
        <f>mgmt!F454</f>
        <v>0.20119999999999999</v>
      </c>
      <c r="H242" s="13">
        <f>1.96*mgmt!G454</f>
        <v>5.4879999999999998E-2</v>
      </c>
      <c r="I242" s="13">
        <f>mgmt!H454</f>
        <v>9.9000000000000008E-3</v>
      </c>
      <c r="J242" s="13">
        <f>1.96*mgmt!I454</f>
        <v>1.2936E-2</v>
      </c>
    </row>
    <row r="243" spans="2:10" x14ac:dyDescent="0.35">
      <c r="B243" s="7">
        <f>mgmt!$A455</f>
        <v>0.8266</v>
      </c>
      <c r="C243" s="13">
        <f>mgmt!B455</f>
        <v>0.58560000000000001</v>
      </c>
      <c r="D243" s="13">
        <f>1.96*mgmt!C455</f>
        <v>8.1927999999999987E-2</v>
      </c>
      <c r="E243" s="13">
        <f>mgmt!D455</f>
        <v>0.20200000000000001</v>
      </c>
      <c r="F243" s="13">
        <f>1.96*mgmt!E455</f>
        <v>8.0948000000000006E-2</v>
      </c>
      <c r="G243" s="13">
        <f>mgmt!F455</f>
        <v>0.20269999999999999</v>
      </c>
      <c r="H243" s="13">
        <f>1.96*mgmt!G455</f>
        <v>5.6447999999999998E-2</v>
      </c>
      <c r="I243" s="13">
        <f>mgmt!H455</f>
        <v>9.7000000000000003E-3</v>
      </c>
      <c r="J243" s="13">
        <f>1.96*mgmt!I455</f>
        <v>1.3132E-2</v>
      </c>
    </row>
    <row r="244" spans="2:10" x14ac:dyDescent="0.35">
      <c r="B244" s="7">
        <f>mgmt!$A456</f>
        <v>0.82679999999999998</v>
      </c>
      <c r="C244" s="13">
        <f>mgmt!B456</f>
        <v>0.58560000000000001</v>
      </c>
      <c r="D244" s="13">
        <f>1.96*mgmt!C456</f>
        <v>8.2124000000000003E-2</v>
      </c>
      <c r="E244" s="13">
        <f>mgmt!D456</f>
        <v>0.20200000000000001</v>
      </c>
      <c r="F244" s="13">
        <f>1.96*mgmt!E456</f>
        <v>8.0948000000000006E-2</v>
      </c>
      <c r="G244" s="13">
        <f>mgmt!F456</f>
        <v>0.20269999999999999</v>
      </c>
      <c r="H244" s="13">
        <f>1.96*mgmt!G456</f>
        <v>5.6447999999999998E-2</v>
      </c>
      <c r="I244" s="13">
        <f>mgmt!H456</f>
        <v>9.7000000000000003E-3</v>
      </c>
      <c r="J244" s="13">
        <f>1.96*mgmt!I456</f>
        <v>1.3132E-2</v>
      </c>
    </row>
    <row r="245" spans="2:10" x14ac:dyDescent="0.35">
      <c r="B245" s="7">
        <f>mgmt!$A457</f>
        <v>0.83</v>
      </c>
      <c r="C245" s="13">
        <f>mgmt!B457</f>
        <v>0.5847</v>
      </c>
      <c r="D245" s="13">
        <f>1.96*mgmt!C457</f>
        <v>8.2712000000000008E-2</v>
      </c>
      <c r="E245" s="13">
        <f>mgmt!D457</f>
        <v>0.2024</v>
      </c>
      <c r="F245" s="13">
        <f>1.96*mgmt!E457</f>
        <v>8.1927999999999987E-2</v>
      </c>
      <c r="G245" s="13">
        <f>mgmt!F457</f>
        <v>0.20319999999999999</v>
      </c>
      <c r="H245" s="13">
        <f>1.96*mgmt!G457</f>
        <v>5.7036000000000003E-2</v>
      </c>
      <c r="I245" s="13">
        <f>mgmt!H457</f>
        <v>9.5999999999999992E-3</v>
      </c>
      <c r="J245" s="13">
        <f>1.96*mgmt!I457</f>
        <v>1.3132E-2</v>
      </c>
    </row>
    <row r="246" spans="2:10" x14ac:dyDescent="0.35">
      <c r="B246" s="7">
        <f>mgmt!$A458</f>
        <v>0.83340000000000003</v>
      </c>
      <c r="C246" s="13">
        <f>mgmt!B458</f>
        <v>0.58389999999999997</v>
      </c>
      <c r="D246" s="13">
        <f>1.96*mgmt!C458</f>
        <v>8.3496000000000001E-2</v>
      </c>
      <c r="E246" s="13">
        <f>mgmt!D458</f>
        <v>0.2029</v>
      </c>
      <c r="F246" s="13">
        <f>1.96*mgmt!E458</f>
        <v>8.2712000000000008E-2</v>
      </c>
      <c r="G246" s="13">
        <f>mgmt!F458</f>
        <v>0.20369999999999999</v>
      </c>
      <c r="H246" s="13">
        <f>1.96*mgmt!G458</f>
        <v>5.7623999999999995E-2</v>
      </c>
      <c r="I246" s="13">
        <f>mgmt!H458</f>
        <v>9.5999999999999992E-3</v>
      </c>
      <c r="J246" s="13">
        <f>1.96*mgmt!I458</f>
        <v>1.3132E-2</v>
      </c>
    </row>
    <row r="247" spans="2:10" x14ac:dyDescent="0.35">
      <c r="B247" s="7">
        <f>mgmt!$A459</f>
        <v>0.84340000000000004</v>
      </c>
      <c r="C247" s="13">
        <f>mgmt!B459</f>
        <v>0.58130000000000004</v>
      </c>
      <c r="D247" s="13">
        <f>1.96*mgmt!C459</f>
        <v>8.5847999999999994E-2</v>
      </c>
      <c r="E247" s="13">
        <f>mgmt!D459</f>
        <v>0.2041</v>
      </c>
      <c r="F247" s="13">
        <f>1.96*mgmt!E459</f>
        <v>8.5456000000000004E-2</v>
      </c>
      <c r="G247" s="13">
        <f>mgmt!F459</f>
        <v>0.20519999999999999</v>
      </c>
      <c r="H247" s="13">
        <f>1.96*mgmt!G459</f>
        <v>5.9388000000000003E-2</v>
      </c>
      <c r="I247" s="13">
        <f>mgmt!H459</f>
        <v>9.4000000000000004E-3</v>
      </c>
      <c r="J247" s="13">
        <f>1.96*mgmt!I459</f>
        <v>1.3328E-2</v>
      </c>
    </row>
    <row r="248" spans="2:10" x14ac:dyDescent="0.35">
      <c r="B248" s="7">
        <f>mgmt!$A460</f>
        <v>0.85</v>
      </c>
      <c r="C248" s="13">
        <f>mgmt!B460</f>
        <v>0.57950000000000002</v>
      </c>
      <c r="D248" s="13">
        <f>1.96*mgmt!C460</f>
        <v>8.7415999999999994E-2</v>
      </c>
      <c r="E248" s="13">
        <f>mgmt!D460</f>
        <v>0.2049</v>
      </c>
      <c r="F248" s="13">
        <f>1.96*mgmt!E460</f>
        <v>8.7415999999999994E-2</v>
      </c>
      <c r="G248" s="13">
        <f>mgmt!F460</f>
        <v>0.20619999999999999</v>
      </c>
      <c r="H248" s="13">
        <f>1.96*mgmt!G460</f>
        <v>6.0367999999999998E-2</v>
      </c>
      <c r="I248" s="13">
        <f>mgmt!H460</f>
        <v>9.2999999999999992E-3</v>
      </c>
      <c r="J248" s="13">
        <f>1.96*mgmt!I460</f>
        <v>1.3328E-2</v>
      </c>
    </row>
    <row r="249" spans="2:10" x14ac:dyDescent="0.35">
      <c r="B249" s="7">
        <f>mgmt!$A461</f>
        <v>0.85340000000000005</v>
      </c>
      <c r="C249" s="13">
        <f>mgmt!B461</f>
        <v>0.5786</v>
      </c>
      <c r="D249" s="13">
        <f>1.96*mgmt!C461</f>
        <v>8.8200000000000001E-2</v>
      </c>
      <c r="E249" s="13">
        <f>mgmt!D461</f>
        <v>0.20530000000000001</v>
      </c>
      <c r="F249" s="13">
        <f>1.96*mgmt!E461</f>
        <v>8.8200000000000001E-2</v>
      </c>
      <c r="G249" s="13">
        <f>mgmt!F461</f>
        <v>0.20680000000000001</v>
      </c>
      <c r="H249" s="13">
        <f>1.96*mgmt!G461</f>
        <v>6.0955999999999996E-2</v>
      </c>
      <c r="I249" s="13">
        <f>mgmt!H461</f>
        <v>9.2999999999999992E-3</v>
      </c>
      <c r="J249" s="13">
        <f>1.96*mgmt!I461</f>
        <v>1.3524E-2</v>
      </c>
    </row>
    <row r="250" spans="2:10" x14ac:dyDescent="0.35">
      <c r="B250" s="7">
        <f>mgmt!$A462</f>
        <v>0.86</v>
      </c>
      <c r="C250" s="13">
        <f>mgmt!B462</f>
        <v>0.57689999999999997</v>
      </c>
      <c r="D250" s="13">
        <f>1.96*mgmt!C462</f>
        <v>8.9768000000000001E-2</v>
      </c>
      <c r="E250" s="13">
        <f>mgmt!D462</f>
        <v>0.20619999999999999</v>
      </c>
      <c r="F250" s="13">
        <f>1.96*mgmt!E462</f>
        <v>9.015999999999999E-2</v>
      </c>
      <c r="G250" s="13">
        <f>mgmt!F462</f>
        <v>0.20780000000000001</v>
      </c>
      <c r="H250" s="13">
        <f>1.96*mgmt!G462</f>
        <v>6.2132E-2</v>
      </c>
      <c r="I250" s="13">
        <f>mgmt!H462</f>
        <v>9.1999999999999998E-3</v>
      </c>
      <c r="J250" s="13">
        <f>1.96*mgmt!I462</f>
        <v>1.3524E-2</v>
      </c>
    </row>
    <row r="251" spans="2:10" x14ac:dyDescent="0.35">
      <c r="B251" s="7">
        <f>mgmt!$A463</f>
        <v>0.86660000000000004</v>
      </c>
      <c r="C251" s="13">
        <f>mgmt!B463</f>
        <v>0.57520000000000004</v>
      </c>
      <c r="D251" s="13">
        <f>1.96*mgmt!C463</f>
        <v>9.1336000000000001E-2</v>
      </c>
      <c r="E251" s="13">
        <f>mgmt!D463</f>
        <v>0.20699999999999999</v>
      </c>
      <c r="F251" s="13">
        <f>1.96*mgmt!E463</f>
        <v>9.1923999999999992E-2</v>
      </c>
      <c r="G251" s="13">
        <f>mgmt!F463</f>
        <v>0.20880000000000001</v>
      </c>
      <c r="H251" s="13">
        <f>1.96*mgmt!G463</f>
        <v>6.3308000000000003E-2</v>
      </c>
      <c r="I251" s="13">
        <f>mgmt!H463</f>
        <v>9.1000000000000004E-3</v>
      </c>
      <c r="J251" s="13">
        <f>1.96*mgmt!I463</f>
        <v>1.3524E-2</v>
      </c>
    </row>
    <row r="252" spans="2:10" x14ac:dyDescent="0.35">
      <c r="B252" s="7">
        <f>mgmt!$A464</f>
        <v>0.86680000000000001</v>
      </c>
      <c r="C252" s="13">
        <f>mgmt!B464</f>
        <v>0.57509999999999994</v>
      </c>
      <c r="D252" s="13">
        <f>1.96*mgmt!C464</f>
        <v>9.1532000000000002E-2</v>
      </c>
      <c r="E252" s="13">
        <f>mgmt!D464</f>
        <v>0.20699999999999999</v>
      </c>
      <c r="F252" s="13">
        <f>1.96*mgmt!E464</f>
        <v>9.1923999999999992E-2</v>
      </c>
      <c r="G252" s="13">
        <f>mgmt!F464</f>
        <v>0.20880000000000001</v>
      </c>
      <c r="H252" s="13">
        <f>1.96*mgmt!G464</f>
        <v>6.3308000000000003E-2</v>
      </c>
      <c r="I252" s="13">
        <f>mgmt!H464</f>
        <v>9.1000000000000004E-3</v>
      </c>
      <c r="J252" s="13">
        <f>1.96*mgmt!I464</f>
        <v>1.3524E-2</v>
      </c>
    </row>
    <row r="253" spans="2:10" x14ac:dyDescent="0.35">
      <c r="B253" s="7">
        <f>mgmt!$A465</f>
        <v>0.87</v>
      </c>
      <c r="C253" s="13">
        <f>mgmt!B465</f>
        <v>0.57430000000000003</v>
      </c>
      <c r="D253" s="13">
        <f>1.96*mgmt!C465</f>
        <v>9.2316000000000009E-2</v>
      </c>
      <c r="E253" s="13">
        <f>mgmt!D465</f>
        <v>0.2074</v>
      </c>
      <c r="F253" s="13">
        <f>1.96*mgmt!E465</f>
        <v>9.2904E-2</v>
      </c>
      <c r="G253" s="13">
        <f>mgmt!F465</f>
        <v>0.20930000000000001</v>
      </c>
      <c r="H253" s="13">
        <f>1.96*mgmt!G465</f>
        <v>6.3895999999999994E-2</v>
      </c>
      <c r="I253" s="13">
        <f>mgmt!H465</f>
        <v>8.9999999999999993E-3</v>
      </c>
      <c r="J253" s="13">
        <f>1.96*mgmt!I465</f>
        <v>1.372E-2</v>
      </c>
    </row>
    <row r="254" spans="2:10" x14ac:dyDescent="0.35">
      <c r="B254" s="7">
        <f>mgmt!$A466</f>
        <v>0.88</v>
      </c>
      <c r="C254" s="13">
        <f>mgmt!B466</f>
        <v>0.5716</v>
      </c>
      <c r="D254" s="13">
        <f>1.96*mgmt!C466</f>
        <v>9.4668000000000002E-2</v>
      </c>
      <c r="E254" s="13">
        <f>mgmt!D466</f>
        <v>0.2087</v>
      </c>
      <c r="F254" s="13">
        <f>1.96*mgmt!E466</f>
        <v>9.5648000000000011E-2</v>
      </c>
      <c r="G254" s="13">
        <f>mgmt!F466</f>
        <v>0.21079999999999999</v>
      </c>
      <c r="H254" s="13">
        <f>1.96*mgmt!G466</f>
        <v>6.5659999999999996E-2</v>
      </c>
      <c r="I254" s="13">
        <f>mgmt!H466</f>
        <v>8.8999999999999999E-3</v>
      </c>
      <c r="J254" s="13">
        <f>1.96*mgmt!I466</f>
        <v>1.372E-2</v>
      </c>
    </row>
    <row r="255" spans="2:10" x14ac:dyDescent="0.35">
      <c r="B255" s="7">
        <f>mgmt!$A467</f>
        <v>0.88339999999999996</v>
      </c>
      <c r="C255" s="13">
        <f>mgmt!B467</f>
        <v>0.57069999999999999</v>
      </c>
      <c r="D255" s="13">
        <f>1.96*mgmt!C467</f>
        <v>9.5451999999999995E-2</v>
      </c>
      <c r="E255" s="13">
        <f>mgmt!D467</f>
        <v>0.20910000000000001</v>
      </c>
      <c r="F255" s="13">
        <f>1.96*mgmt!E467</f>
        <v>9.6627999999999992E-2</v>
      </c>
      <c r="G255" s="13">
        <f>mgmt!F467</f>
        <v>0.2114</v>
      </c>
      <c r="H255" s="13">
        <f>1.96*mgmt!G467</f>
        <v>6.6247999999999987E-2</v>
      </c>
      <c r="I255" s="13">
        <f>mgmt!H467</f>
        <v>8.8000000000000005E-3</v>
      </c>
      <c r="J255" s="13">
        <f>1.96*mgmt!I467</f>
        <v>1.372E-2</v>
      </c>
    </row>
    <row r="256" spans="2:10" x14ac:dyDescent="0.35">
      <c r="B256" s="7">
        <f>mgmt!$A468</f>
        <v>0.89339999999999997</v>
      </c>
      <c r="C256" s="13">
        <f>mgmt!B468</f>
        <v>0.56810000000000005</v>
      </c>
      <c r="D256" s="13">
        <f>1.96*mgmt!C468</f>
        <v>9.7804000000000002E-2</v>
      </c>
      <c r="E256" s="13">
        <f>mgmt!D468</f>
        <v>0.21029999999999999</v>
      </c>
      <c r="F256" s="13">
        <f>1.96*mgmt!E468</f>
        <v>9.956799999999999E-2</v>
      </c>
      <c r="G256" s="13">
        <f>mgmt!F468</f>
        <v>0.21290000000000001</v>
      </c>
      <c r="H256" s="13">
        <f>1.96*mgmt!G468</f>
        <v>6.8207999999999991E-2</v>
      </c>
      <c r="I256" s="13">
        <f>mgmt!H468</f>
        <v>8.6999999999999994E-3</v>
      </c>
      <c r="J256" s="13">
        <f>1.96*mgmt!I468</f>
        <v>1.3916000000000001E-2</v>
      </c>
    </row>
    <row r="257" spans="2:10" x14ac:dyDescent="0.35">
      <c r="B257" s="7">
        <f>mgmt!$A469</f>
        <v>0.9</v>
      </c>
      <c r="C257" s="13">
        <f>mgmt!B469</f>
        <v>0.56630000000000003</v>
      </c>
      <c r="D257" s="13">
        <f>1.96*mgmt!C469</f>
        <v>9.956799999999999E-2</v>
      </c>
      <c r="E257" s="13">
        <f>mgmt!D469</f>
        <v>0.2112</v>
      </c>
      <c r="F257" s="13">
        <f>1.96*mgmt!E469</f>
        <v>0.10152799999999999</v>
      </c>
      <c r="G257" s="13">
        <f>mgmt!F469</f>
        <v>0.21390000000000001</v>
      </c>
      <c r="H257" s="13">
        <f>1.96*mgmt!G469</f>
        <v>6.9384000000000001E-2</v>
      </c>
      <c r="I257" s="13">
        <f>mgmt!H469</f>
        <v>8.6E-3</v>
      </c>
      <c r="J257" s="13">
        <f>1.96*mgmt!I469</f>
        <v>1.3916000000000001E-2</v>
      </c>
    </row>
    <row r="258" spans="2:10" x14ac:dyDescent="0.35">
      <c r="B258" s="7">
        <f>mgmt!$A470</f>
        <v>0.91</v>
      </c>
      <c r="C258" s="13">
        <f>mgmt!B470</f>
        <v>0.56369999999999998</v>
      </c>
      <c r="D258" s="13">
        <f>1.96*mgmt!C470</f>
        <v>0.10192</v>
      </c>
      <c r="E258" s="13">
        <f>mgmt!D470</f>
        <v>0.21240000000000001</v>
      </c>
      <c r="F258" s="13">
        <f>1.96*mgmt!E470</f>
        <v>0.10446800000000001</v>
      </c>
      <c r="G258" s="13">
        <f>mgmt!F470</f>
        <v>0.2155</v>
      </c>
      <c r="H258" s="13">
        <f>1.96*mgmt!G470</f>
        <v>7.1148000000000003E-2</v>
      </c>
      <c r="I258" s="13">
        <f>mgmt!H470</f>
        <v>8.3999999999999995E-3</v>
      </c>
      <c r="J258" s="13">
        <f>1.96*mgmt!I470</f>
        <v>1.3916000000000001E-2</v>
      </c>
    </row>
    <row r="259" spans="2:10" x14ac:dyDescent="0.35">
      <c r="B259" s="7">
        <f>mgmt!$A471</f>
        <v>0.93340000000000001</v>
      </c>
      <c r="C259" s="13">
        <f>mgmt!B471</f>
        <v>0.55740000000000001</v>
      </c>
      <c r="D259" s="13">
        <f>1.96*mgmt!C471</f>
        <v>0.10760399999999999</v>
      </c>
      <c r="E259" s="13">
        <f>mgmt!D471</f>
        <v>0.21529999999999999</v>
      </c>
      <c r="F259" s="13">
        <f>1.96*mgmt!E471</f>
        <v>0.11132800000000001</v>
      </c>
      <c r="G259" s="13">
        <f>mgmt!F471</f>
        <v>0.21920000000000001</v>
      </c>
      <c r="H259" s="13">
        <f>1.96*mgmt!G471</f>
        <v>7.5656000000000001E-2</v>
      </c>
      <c r="I259" s="13">
        <f>mgmt!H471</f>
        <v>8.0999999999999996E-3</v>
      </c>
      <c r="J259" s="13">
        <f>1.96*mgmt!I471</f>
        <v>1.4112E-2</v>
      </c>
    </row>
    <row r="260" spans="2:10" x14ac:dyDescent="0.35">
      <c r="B260" s="7">
        <f>mgmt!$A472</f>
        <v>0.95</v>
      </c>
      <c r="C260" s="13">
        <f>mgmt!B472</f>
        <v>0.55300000000000005</v>
      </c>
      <c r="D260" s="13">
        <f>1.96*mgmt!C472</f>
        <v>0.11172</v>
      </c>
      <c r="E260" s="13">
        <f>mgmt!D472</f>
        <v>0.21740000000000001</v>
      </c>
      <c r="F260" s="13">
        <f>1.96*mgmt!E472</f>
        <v>0.116424</v>
      </c>
      <c r="G260" s="13">
        <f>mgmt!F472</f>
        <v>0.2218</v>
      </c>
      <c r="H260" s="13">
        <f>1.96*mgmt!G472</f>
        <v>7.8988000000000003E-2</v>
      </c>
      <c r="I260" s="13">
        <f>mgmt!H472</f>
        <v>7.9000000000000008E-3</v>
      </c>
      <c r="J260" s="13">
        <f>1.96*mgmt!I472</f>
        <v>1.4308E-2</v>
      </c>
    </row>
    <row r="261" spans="2:10" x14ac:dyDescent="0.35">
      <c r="B261" s="7">
        <f>mgmt!$A473</f>
        <v>0.96</v>
      </c>
      <c r="C261" s="13">
        <f>mgmt!B473</f>
        <v>0.55030000000000001</v>
      </c>
      <c r="D261" s="13">
        <f>1.96*mgmt!C473</f>
        <v>0.11426799999999999</v>
      </c>
      <c r="E261" s="13">
        <f>mgmt!D473</f>
        <v>0.21859999999999999</v>
      </c>
      <c r="F261" s="13">
        <f>1.96*mgmt!E473</f>
        <v>0.11956</v>
      </c>
      <c r="G261" s="13">
        <f>mgmt!F473</f>
        <v>0.2233</v>
      </c>
      <c r="H261" s="13">
        <f>1.96*mgmt!G473</f>
        <v>8.0948000000000006E-2</v>
      </c>
      <c r="I261" s="13">
        <f>mgmt!H473</f>
        <v>7.7000000000000002E-3</v>
      </c>
      <c r="J261" s="13">
        <f>1.96*mgmt!I473</f>
        <v>1.4308E-2</v>
      </c>
    </row>
    <row r="262" spans="2:10" x14ac:dyDescent="0.35">
      <c r="B262" s="7">
        <f>mgmt!$A474</f>
        <v>1</v>
      </c>
      <c r="C262" s="13">
        <f>mgmt!B474</f>
        <v>0.53949999999999998</v>
      </c>
      <c r="D262" s="13">
        <f>1.96*mgmt!C474</f>
        <v>0.124264</v>
      </c>
      <c r="E262" s="13">
        <f>mgmt!D474</f>
        <v>0.22359999999999999</v>
      </c>
      <c r="F262" s="13">
        <f>1.96*mgmt!E474</f>
        <v>0.131908</v>
      </c>
      <c r="G262" s="13">
        <f>mgmt!F474</f>
        <v>0.22969999999999999</v>
      </c>
      <c r="H262" s="13">
        <f>1.96*mgmt!G474</f>
        <v>8.9375999999999997E-2</v>
      </c>
      <c r="I262" s="13">
        <f>mgmt!H474</f>
        <v>7.1999999999999998E-3</v>
      </c>
      <c r="J262" s="13">
        <f>1.96*mgmt!I474</f>
        <v>1.4504E-2</v>
      </c>
    </row>
    <row r="263" spans="2:10" x14ac:dyDescent="0.35">
      <c r="B263" s="7"/>
      <c r="C263" s="13"/>
      <c r="D263" s="13"/>
      <c r="E263" s="13"/>
      <c r="F263" s="13"/>
      <c r="G263" s="13"/>
      <c r="H263" s="13"/>
      <c r="I263" s="13"/>
      <c r="J263" s="13"/>
    </row>
    <row r="264" spans="2:10" x14ac:dyDescent="0.35">
      <c r="B264" s="7"/>
      <c r="C264" s="13"/>
      <c r="D264" s="13"/>
      <c r="E264" s="13"/>
      <c r="F264" s="13"/>
      <c r="G264" s="13"/>
      <c r="H264" s="13"/>
      <c r="I264" s="13"/>
      <c r="J264" s="13"/>
    </row>
    <row r="265" spans="2:10" x14ac:dyDescent="0.35">
      <c r="B265" s="7"/>
      <c r="C265" s="13"/>
      <c r="D265" s="13"/>
      <c r="E265" s="13"/>
      <c r="F265" s="13"/>
      <c r="G265" s="13"/>
      <c r="H265" s="13"/>
      <c r="I265" s="13"/>
      <c r="J265" s="13"/>
    </row>
    <row r="266" spans="2:10" x14ac:dyDescent="0.35">
      <c r="B266" s="7"/>
      <c r="C266" s="13"/>
      <c r="D266" s="13"/>
      <c r="E266" s="13"/>
      <c r="F266" s="13"/>
      <c r="G266" s="13"/>
      <c r="H266" s="13"/>
      <c r="I266" s="13"/>
      <c r="J266" s="13"/>
    </row>
    <row r="267" spans="2:10" x14ac:dyDescent="0.35">
      <c r="B267" s="7"/>
      <c r="C267" s="13"/>
      <c r="D267" s="13"/>
      <c r="E267" s="13"/>
      <c r="F267" s="13"/>
      <c r="G267" s="13"/>
      <c r="H267" s="13"/>
      <c r="I267" s="13"/>
      <c r="J267" s="13"/>
    </row>
    <row r="268" spans="2:10" x14ac:dyDescent="0.35">
      <c r="B268" s="7"/>
      <c r="C268" s="13"/>
      <c r="D268" s="13"/>
      <c r="E268" s="13"/>
      <c r="F268" s="13"/>
      <c r="G268" s="13"/>
      <c r="H268" s="13"/>
      <c r="I268" s="13"/>
      <c r="J268" s="13"/>
    </row>
    <row r="269" spans="2:10" x14ac:dyDescent="0.35">
      <c r="B269" s="7"/>
      <c r="C269" s="13"/>
      <c r="D269" s="13"/>
      <c r="E269" s="13"/>
      <c r="F269" s="13"/>
      <c r="G269" s="13"/>
      <c r="H269" s="13"/>
      <c r="I269" s="13"/>
      <c r="J269" s="13"/>
    </row>
    <row r="270" spans="2:10" x14ac:dyDescent="0.35">
      <c r="B270" s="7"/>
      <c r="C270" s="13"/>
      <c r="D270" s="13"/>
      <c r="E270" s="13"/>
      <c r="F270" s="13"/>
      <c r="G270" s="13"/>
      <c r="H270" s="13"/>
      <c r="I270" s="13"/>
      <c r="J270" s="13"/>
    </row>
    <row r="271" spans="2:10" x14ac:dyDescent="0.35">
      <c r="B271" s="7"/>
      <c r="C271" s="13"/>
      <c r="D271" s="13"/>
      <c r="E271" s="13"/>
      <c r="F271" s="13"/>
      <c r="G271" s="13"/>
      <c r="H271" s="13"/>
      <c r="I271" s="13"/>
      <c r="J271" s="13"/>
    </row>
    <row r="272" spans="2:10" x14ac:dyDescent="0.35">
      <c r="B272" s="7"/>
      <c r="C272" s="13"/>
      <c r="D272" s="13"/>
      <c r="E272" s="13"/>
      <c r="F272" s="13"/>
      <c r="G272" s="13"/>
      <c r="H272" s="13"/>
      <c r="I272" s="13"/>
      <c r="J272" s="13"/>
    </row>
    <row r="273" spans="2:10" x14ac:dyDescent="0.35">
      <c r="B273" s="7"/>
      <c r="C273" s="13"/>
      <c r="D273" s="13"/>
      <c r="E273" s="13"/>
      <c r="F273" s="13"/>
      <c r="G273" s="13"/>
      <c r="H273" s="13"/>
      <c r="I273" s="13"/>
      <c r="J273" s="13"/>
    </row>
    <row r="274" spans="2:10" x14ac:dyDescent="0.35">
      <c r="B274" s="7"/>
      <c r="C274" s="13"/>
      <c r="D274" s="13"/>
      <c r="E274" s="13"/>
      <c r="F274" s="13"/>
      <c r="G274" s="13"/>
      <c r="H274" s="13"/>
      <c r="I274" s="13"/>
      <c r="J274" s="13"/>
    </row>
    <row r="275" spans="2:10" x14ac:dyDescent="0.35">
      <c r="B275" s="7"/>
      <c r="C275" s="13"/>
      <c r="D275" s="13"/>
      <c r="E275" s="13"/>
      <c r="F275" s="13"/>
      <c r="G275" s="13"/>
      <c r="H275" s="13"/>
      <c r="I275" s="13"/>
      <c r="J275" s="13"/>
    </row>
    <row r="276" spans="2:10" x14ac:dyDescent="0.35">
      <c r="B276" s="7"/>
      <c r="C276" s="13"/>
      <c r="D276" s="13"/>
      <c r="E276" s="13"/>
      <c r="F276" s="13"/>
      <c r="G276" s="13"/>
      <c r="H276" s="13"/>
      <c r="I276" s="13"/>
      <c r="J276" s="13"/>
    </row>
    <row r="277" spans="2:10" x14ac:dyDescent="0.35">
      <c r="B277" s="7"/>
      <c r="C277" s="13"/>
      <c r="D277" s="13"/>
      <c r="E277" s="13"/>
      <c r="F277" s="13"/>
      <c r="G277" s="13"/>
      <c r="H277" s="13"/>
      <c r="I277" s="13"/>
      <c r="J277" s="13"/>
    </row>
    <row r="278" spans="2:10" x14ac:dyDescent="0.35">
      <c r="B278" s="7"/>
      <c r="C278" s="13"/>
      <c r="D278" s="13"/>
      <c r="E278" s="13"/>
      <c r="F278" s="13"/>
      <c r="G278" s="13"/>
      <c r="H278" s="13"/>
      <c r="I278" s="13"/>
      <c r="J278" s="13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24"/>
  <sheetViews>
    <sheetView topLeftCell="A165" workbookViewId="0">
      <selection activeCell="C147" sqref="C147"/>
    </sheetView>
  </sheetViews>
  <sheetFormatPr defaultRowHeight="14.5" x14ac:dyDescent="0.35"/>
  <cols>
    <col min="1" max="1" width="29.7265625" bestFit="1" customWidth="1"/>
    <col min="2" max="2" width="12.54296875" bestFit="1" customWidth="1"/>
    <col min="3" max="4" width="9.54296875" bestFit="1" customWidth="1"/>
    <col min="5" max="5" width="9.1796875" bestFit="1" customWidth="1"/>
    <col min="6" max="6" width="9.54296875" bestFit="1" customWidth="1"/>
    <col min="7" max="7" width="7.26953125" bestFit="1" customWidth="1"/>
    <col min="9" max="9" width="6.54296875" bestFit="1" customWidth="1"/>
    <col min="10" max="10" width="8.54296875" bestFit="1" customWidth="1"/>
    <col min="11" max="11" width="9.54296875" bestFit="1" customWidth="1"/>
    <col min="15" max="15" width="9.453125" bestFit="1" customWidth="1"/>
  </cols>
  <sheetData>
    <row r="1" spans="1:6" ht="17.5" x14ac:dyDescent="0.35">
      <c r="A1" s="1" t="s">
        <v>122</v>
      </c>
    </row>
    <row r="3" spans="1:6" x14ac:dyDescent="0.35">
      <c r="A3" s="20" t="s">
        <v>0</v>
      </c>
      <c r="B3" s="21"/>
      <c r="C3" s="21"/>
      <c r="D3" s="21"/>
      <c r="E3" s="21"/>
      <c r="F3" s="22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13400</v>
      </c>
      <c r="C5" s="2"/>
      <c r="D5" s="2"/>
      <c r="E5" s="2"/>
      <c r="F5" s="2"/>
    </row>
    <row r="6" spans="1:6" x14ac:dyDescent="0.35">
      <c r="A6" s="3" t="s">
        <v>2</v>
      </c>
      <c r="B6" s="2">
        <v>18</v>
      </c>
      <c r="C6" s="2"/>
      <c r="D6" s="2"/>
      <c r="E6" s="2"/>
      <c r="F6" s="2"/>
    </row>
    <row r="7" spans="1:6" x14ac:dyDescent="0.35">
      <c r="A7" s="3" t="s">
        <v>3</v>
      </c>
      <c r="B7" s="2">
        <v>8.7100000000000009</v>
      </c>
      <c r="C7" s="2"/>
      <c r="D7" s="2"/>
      <c r="E7" s="2"/>
      <c r="F7" s="2"/>
    </row>
    <row r="8" spans="1:6" x14ac:dyDescent="0.35">
      <c r="A8" s="3" t="s">
        <v>4</v>
      </c>
      <c r="B8" s="2">
        <v>8.7100000000000009</v>
      </c>
      <c r="C8" s="2"/>
      <c r="D8" s="2"/>
      <c r="E8" s="2"/>
      <c r="F8" s="2"/>
    </row>
    <row r="9" spans="1:6" x14ac:dyDescent="0.35">
      <c r="A9" s="3" t="s">
        <v>5</v>
      </c>
      <c r="B9" s="2">
        <v>98839</v>
      </c>
      <c r="C9" s="2"/>
      <c r="D9" s="2"/>
      <c r="E9" s="2"/>
      <c r="F9" s="2"/>
    </row>
    <row r="10" spans="1:6" x14ac:dyDescent="0.35">
      <c r="A10" s="3" t="s">
        <v>6</v>
      </c>
      <c r="B10" s="2">
        <v>98839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0</v>
      </c>
      <c r="C17" s="2"/>
      <c r="D17" s="2"/>
      <c r="E17" s="2"/>
      <c r="F17" s="2"/>
    </row>
    <row r="18" spans="1:6" x14ac:dyDescent="0.35">
      <c r="A18" s="3" t="s">
        <v>15</v>
      </c>
      <c r="B18" s="2">
        <v>0</v>
      </c>
      <c r="C18" s="2"/>
      <c r="D18" s="2"/>
      <c r="E18" s="2"/>
      <c r="F18" s="2"/>
    </row>
    <row r="19" spans="1:6" x14ac:dyDescent="0.35">
      <c r="A19" s="3" t="s">
        <v>16</v>
      </c>
      <c r="B19" s="2">
        <v>0</v>
      </c>
      <c r="C19" s="2"/>
      <c r="D19" s="2"/>
      <c r="E19" s="2"/>
      <c r="F19" s="2"/>
    </row>
    <row r="20" spans="1:6" x14ac:dyDescent="0.35">
      <c r="A20" s="3" t="s">
        <v>17</v>
      </c>
      <c r="B20" s="2">
        <v>0</v>
      </c>
      <c r="C20" s="2"/>
      <c r="D20" s="2"/>
      <c r="E20" s="2"/>
      <c r="F20" s="2"/>
    </row>
    <row r="21" spans="1:6" x14ac:dyDescent="0.35">
      <c r="A21" s="3" t="s">
        <v>18</v>
      </c>
      <c r="B21" s="2">
        <v>0</v>
      </c>
      <c r="C21" s="2"/>
      <c r="D21" s="2"/>
      <c r="E21" s="2"/>
      <c r="F21" s="2"/>
    </row>
    <row r="22" spans="1:6" x14ac:dyDescent="0.35">
      <c r="A22" s="3" t="s">
        <v>19</v>
      </c>
      <c r="B22" s="2">
        <v>0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-12377.0067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-12377.0067</v>
      </c>
      <c r="C27" s="2"/>
      <c r="D27" s="2"/>
      <c r="E27" s="2"/>
      <c r="F27" s="2"/>
    </row>
    <row r="28" spans="1:6" x14ac:dyDescent="0.35">
      <c r="A28" s="3" t="s">
        <v>24</v>
      </c>
      <c r="B28" s="2">
        <v>24925.067500000001</v>
      </c>
      <c r="C28" s="2"/>
      <c r="D28" s="2"/>
      <c r="E28" s="2"/>
      <c r="F28" s="2"/>
    </row>
    <row r="29" spans="1:6" x14ac:dyDescent="0.35">
      <c r="A29" s="3" t="s">
        <v>25</v>
      </c>
      <c r="B29" s="2">
        <v>24790.0134</v>
      </c>
      <c r="C29" s="2"/>
      <c r="D29" s="2"/>
      <c r="E29" s="2"/>
      <c r="F29" s="2"/>
    </row>
    <row r="30" spans="1:6" x14ac:dyDescent="0.35">
      <c r="A30" s="3" t="s">
        <v>26</v>
      </c>
      <c r="B30" s="2">
        <v>24808.0134</v>
      </c>
      <c r="C30" s="2"/>
      <c r="D30" s="2"/>
      <c r="E30" s="2"/>
      <c r="F30" s="2"/>
    </row>
    <row r="31" spans="1:6" x14ac:dyDescent="0.35">
      <c r="A31" s="3" t="s">
        <v>27</v>
      </c>
      <c r="B31" s="2">
        <v>24943.067500000001</v>
      </c>
      <c r="C31" s="2"/>
      <c r="D31" s="2"/>
      <c r="E31" s="2"/>
      <c r="F31" s="2"/>
    </row>
    <row r="32" spans="1:6" x14ac:dyDescent="0.35">
      <c r="A32" s="3" t="s">
        <v>28</v>
      </c>
      <c r="B32" s="2">
        <v>24867.8652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0.34279999999999999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1.6500000000000001E-2</v>
      </c>
      <c r="C38" s="2"/>
      <c r="D38" s="2"/>
      <c r="E38" s="2"/>
      <c r="F38" s="2"/>
    </row>
    <row r="39" spans="1:6" x14ac:dyDescent="0.35">
      <c r="A39" s="3" t="s">
        <v>33</v>
      </c>
      <c r="B39" s="2">
        <v>1.14E-2</v>
      </c>
      <c r="C39" s="2"/>
      <c r="D39" s="2"/>
      <c r="E39" s="2"/>
      <c r="F39" s="2"/>
    </row>
    <row r="40" spans="1:6" x14ac:dyDescent="0.35">
      <c r="A40" s="3" t="s">
        <v>34</v>
      </c>
      <c r="B40" s="2">
        <v>-24699.563399999999</v>
      </c>
      <c r="C40" s="2"/>
      <c r="D40" s="2"/>
      <c r="E40" s="2"/>
      <c r="F40" s="2"/>
    </row>
    <row r="41" spans="1:6" x14ac:dyDescent="0.35">
      <c r="A41" s="3" t="s">
        <v>35</v>
      </c>
      <c r="B41" s="2">
        <v>12322.556699999999</v>
      </c>
      <c r="C41" s="2"/>
      <c r="D41" s="2"/>
      <c r="E41" s="2"/>
      <c r="F41" s="2"/>
    </row>
    <row r="42" spans="1:6" x14ac:dyDescent="0.35">
      <c r="A42" s="3" t="s">
        <v>36</v>
      </c>
      <c r="B42" s="2">
        <v>49399.126700000001</v>
      </c>
      <c r="C42" s="2"/>
      <c r="D42" s="2"/>
      <c r="E42" s="2"/>
      <c r="F42" s="2"/>
    </row>
    <row r="43" spans="1:6" x14ac:dyDescent="0.35">
      <c r="A43" s="3" t="s">
        <v>37</v>
      </c>
      <c r="B43" s="2">
        <v>49795.235099999998</v>
      </c>
      <c r="C43" s="2"/>
      <c r="D43" s="2"/>
      <c r="E43" s="2"/>
      <c r="F43" s="2"/>
    </row>
    <row r="44" spans="1:6" x14ac:dyDescent="0.35">
      <c r="A44" s="3" t="s">
        <v>38</v>
      </c>
      <c r="B44" s="2">
        <v>49570.180899999999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8806.5157999999992</v>
      </c>
      <c r="C48" s="2">
        <v>0</v>
      </c>
      <c r="D48" s="2">
        <v>0</v>
      </c>
      <c r="E48" s="2">
        <v>0</v>
      </c>
      <c r="F48" s="2">
        <v>8806.5157999999992</v>
      </c>
    </row>
    <row r="49" spans="1:6" x14ac:dyDescent="0.35">
      <c r="A49" s="3" t="s">
        <v>43</v>
      </c>
      <c r="B49" s="2">
        <v>2225.1707999999999</v>
      </c>
      <c r="C49" s="2">
        <v>0</v>
      </c>
      <c r="D49" s="2">
        <v>0</v>
      </c>
      <c r="E49" s="2">
        <v>0</v>
      </c>
      <c r="F49" s="2">
        <v>2225.1707999999999</v>
      </c>
    </row>
    <row r="50" spans="1:6" x14ac:dyDescent="0.35">
      <c r="A50" s="3" t="s">
        <v>44</v>
      </c>
      <c r="B50" s="2">
        <v>2147.8040999999998</v>
      </c>
      <c r="C50" s="2">
        <v>0</v>
      </c>
      <c r="D50" s="2">
        <v>0</v>
      </c>
      <c r="E50" s="2">
        <v>0</v>
      </c>
      <c r="F50" s="2">
        <v>2147.8040999999998</v>
      </c>
    </row>
    <row r="51" spans="1:6" x14ac:dyDescent="0.35">
      <c r="A51" s="3" t="s">
        <v>45</v>
      </c>
      <c r="B51" s="2">
        <v>220.5093</v>
      </c>
      <c r="C51" s="2">
        <v>0</v>
      </c>
      <c r="D51" s="2">
        <v>0</v>
      </c>
      <c r="E51" s="2">
        <v>0</v>
      </c>
      <c r="F51" s="2">
        <v>220.5093</v>
      </c>
    </row>
    <row r="52" spans="1:6" x14ac:dyDescent="0.35">
      <c r="A52" s="3" t="s">
        <v>46</v>
      </c>
      <c r="B52" s="2">
        <v>13400</v>
      </c>
      <c r="C52" s="2">
        <v>0</v>
      </c>
      <c r="D52" s="2">
        <v>0</v>
      </c>
      <c r="E52" s="2">
        <v>0</v>
      </c>
      <c r="F52" s="2">
        <v>13400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5818.0442999999996</v>
      </c>
      <c r="C56" s="2">
        <v>1451.2017000000001</v>
      </c>
      <c r="D56" s="2">
        <v>1394.0515</v>
      </c>
      <c r="E56" s="2">
        <v>143.2183</v>
      </c>
      <c r="F56" s="2">
        <v>8806.5157999999992</v>
      </c>
    </row>
    <row r="57" spans="1:6" x14ac:dyDescent="0.35">
      <c r="A57" s="3" t="s">
        <v>43</v>
      </c>
      <c r="B57" s="2">
        <v>1451.2017000000001</v>
      </c>
      <c r="C57" s="2">
        <v>387.28809999999999</v>
      </c>
      <c r="D57" s="2">
        <v>347.1705</v>
      </c>
      <c r="E57" s="2">
        <v>39.510599999999997</v>
      </c>
      <c r="F57" s="2">
        <v>2225.1707999999999</v>
      </c>
    </row>
    <row r="58" spans="1:6" x14ac:dyDescent="0.35">
      <c r="A58" s="3" t="s">
        <v>44</v>
      </c>
      <c r="B58" s="2">
        <v>1394.0515</v>
      </c>
      <c r="C58" s="2">
        <v>347.1705</v>
      </c>
      <c r="D58" s="2">
        <v>373.57659999999998</v>
      </c>
      <c r="E58" s="2">
        <v>33.005499999999998</v>
      </c>
      <c r="F58" s="2">
        <v>2147.8040999999998</v>
      </c>
    </row>
    <row r="59" spans="1:6" x14ac:dyDescent="0.35">
      <c r="A59" s="3" t="s">
        <v>45</v>
      </c>
      <c r="B59" s="2">
        <v>143.2183</v>
      </c>
      <c r="C59" s="2">
        <v>39.510599999999997</v>
      </c>
      <c r="D59" s="2">
        <v>33.005499999999998</v>
      </c>
      <c r="E59" s="2">
        <v>4.7748999999999997</v>
      </c>
      <c r="F59" s="2">
        <v>220.5093</v>
      </c>
    </row>
    <row r="60" spans="1:6" x14ac:dyDescent="0.35">
      <c r="A60" s="3" t="s">
        <v>46</v>
      </c>
      <c r="B60" s="2">
        <v>8806.5157999999992</v>
      </c>
      <c r="C60" s="2">
        <v>2225.1707999999999</v>
      </c>
      <c r="D60" s="2">
        <v>2147.8040999999998</v>
      </c>
      <c r="E60" s="2">
        <v>220.5093</v>
      </c>
      <c r="F60" s="2">
        <v>13400</v>
      </c>
    </row>
    <row r="61" spans="1:6" x14ac:dyDescent="0.35">
      <c r="A61" s="2"/>
      <c r="B61" s="2"/>
      <c r="C61" s="2"/>
      <c r="D61" s="2"/>
      <c r="E61" s="2"/>
      <c r="F61" s="2"/>
    </row>
    <row r="62" spans="1:6" ht="28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0.34279999999999999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1.6500000000000001E-2</v>
      </c>
      <c r="C65" s="2"/>
      <c r="D65" s="2"/>
      <c r="E65" s="2"/>
      <c r="F65" s="2"/>
    </row>
    <row r="66" spans="1:6" x14ac:dyDescent="0.35">
      <c r="A66" s="3" t="s">
        <v>33</v>
      </c>
      <c r="B66" s="2">
        <v>1.14E-2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ht="15" customHeight="1" x14ac:dyDescent="0.35">
      <c r="A69" s="3" t="s">
        <v>50</v>
      </c>
      <c r="B69" s="23" t="s">
        <v>51</v>
      </c>
      <c r="C69" s="24"/>
      <c r="D69" s="24"/>
      <c r="E69" s="24"/>
      <c r="F69" s="25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52</v>
      </c>
      <c r="B71" s="2"/>
      <c r="C71" s="2"/>
      <c r="D71" s="2"/>
      <c r="E71" s="2"/>
      <c r="F71" s="2"/>
    </row>
    <row r="72" spans="1:6" x14ac:dyDescent="0.35">
      <c r="A72" s="3" t="s">
        <v>53</v>
      </c>
      <c r="B72" s="2">
        <v>4</v>
      </c>
      <c r="C72" s="2"/>
      <c r="D72" s="2"/>
      <c r="E72" s="2"/>
      <c r="F72" s="2"/>
    </row>
    <row r="73" spans="1:6" x14ac:dyDescent="0.35">
      <c r="A73" s="3" t="s">
        <v>54</v>
      </c>
      <c r="B73" s="2"/>
      <c r="C73" s="2"/>
      <c r="D73" s="2"/>
      <c r="E73" s="2"/>
      <c r="F73" s="2"/>
    </row>
    <row r="74" spans="1:6" x14ac:dyDescent="0.35">
      <c r="A74" s="3" t="s">
        <v>55</v>
      </c>
      <c r="B74" s="4">
        <v>1E-8</v>
      </c>
      <c r="C74" s="2"/>
      <c r="D74" s="2"/>
      <c r="E74" s="2"/>
      <c r="F74" s="2"/>
    </row>
    <row r="75" spans="1:6" x14ac:dyDescent="0.35">
      <c r="A75" s="3" t="s">
        <v>56</v>
      </c>
      <c r="B75" s="2">
        <v>0.01</v>
      </c>
      <c r="C75" s="2"/>
      <c r="D75" s="2"/>
      <c r="E75" s="2"/>
      <c r="F75" s="2"/>
    </row>
    <row r="76" spans="1:6" x14ac:dyDescent="0.35">
      <c r="A76" s="3" t="s">
        <v>57</v>
      </c>
      <c r="B76" s="2">
        <v>250</v>
      </c>
      <c r="C76" s="2"/>
      <c r="D76" s="2"/>
      <c r="E76" s="2"/>
      <c r="F76" s="2"/>
    </row>
    <row r="77" spans="1:6" x14ac:dyDescent="0.35">
      <c r="A77" s="3" t="s">
        <v>58</v>
      </c>
      <c r="B77" s="2">
        <v>50</v>
      </c>
      <c r="C77" s="2"/>
      <c r="D77" s="2"/>
      <c r="E77" s="2"/>
      <c r="F77" s="2"/>
    </row>
    <row r="78" spans="1:6" x14ac:dyDescent="0.35">
      <c r="A78" s="3" t="s">
        <v>59</v>
      </c>
      <c r="B78" s="2"/>
      <c r="C78" s="2"/>
      <c r="D78" s="2"/>
      <c r="E78" s="2"/>
      <c r="F78" s="2"/>
    </row>
    <row r="79" spans="1:6" x14ac:dyDescent="0.35">
      <c r="A79" s="3" t="s">
        <v>60</v>
      </c>
      <c r="B79" s="2">
        <v>0</v>
      </c>
      <c r="C79" s="2"/>
      <c r="D79" s="2"/>
      <c r="E79" s="2"/>
      <c r="F79" s="2"/>
    </row>
    <row r="80" spans="1:6" x14ac:dyDescent="0.35">
      <c r="A80" s="3" t="s">
        <v>61</v>
      </c>
      <c r="B80" s="2">
        <v>200</v>
      </c>
      <c r="C80" s="2"/>
      <c r="D80" s="2"/>
      <c r="E80" s="2"/>
      <c r="F80" s="2"/>
    </row>
    <row r="81" spans="1:6" x14ac:dyDescent="0.3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62</v>
      </c>
      <c r="B82" s="2">
        <v>150</v>
      </c>
      <c r="C82" s="2"/>
      <c r="D82" s="2"/>
      <c r="E82" s="2"/>
      <c r="F82" s="2"/>
    </row>
    <row r="83" spans="1:6" x14ac:dyDescent="0.35">
      <c r="A83" s="3" t="s">
        <v>63</v>
      </c>
      <c r="B83" s="2"/>
      <c r="C83" s="2"/>
      <c r="D83" s="2"/>
      <c r="E83" s="2"/>
      <c r="F83" s="2"/>
    </row>
    <row r="84" spans="1:6" x14ac:dyDescent="0.35">
      <c r="A84" s="3" t="s">
        <v>64</v>
      </c>
      <c r="B84" s="2">
        <v>1</v>
      </c>
      <c r="C84" s="2"/>
      <c r="D84" s="2"/>
      <c r="E84" s="2"/>
      <c r="F84" s="2"/>
    </row>
    <row r="85" spans="1:6" x14ac:dyDescent="0.35">
      <c r="A85" s="3" t="s">
        <v>65</v>
      </c>
      <c r="B85" s="2">
        <v>1</v>
      </c>
      <c r="C85" s="2"/>
      <c r="D85" s="2"/>
      <c r="E85" s="2"/>
      <c r="F85" s="2"/>
    </row>
    <row r="86" spans="1:6" x14ac:dyDescent="0.35">
      <c r="A86" s="3" t="s">
        <v>66</v>
      </c>
      <c r="B86" s="2">
        <v>0</v>
      </c>
      <c r="C86" s="2"/>
      <c r="D86" s="2"/>
      <c r="E86" s="2"/>
      <c r="F86" s="2"/>
    </row>
    <row r="87" spans="1:6" x14ac:dyDescent="0.35">
      <c r="A87" s="3" t="s">
        <v>67</v>
      </c>
      <c r="B87" s="2">
        <v>1</v>
      </c>
      <c r="C87" s="2"/>
      <c r="D87" s="2"/>
      <c r="E87" s="2"/>
      <c r="F87" s="2"/>
    </row>
    <row r="88" spans="1:6" x14ac:dyDescent="0.35">
      <c r="A88" s="3" t="s">
        <v>68</v>
      </c>
      <c r="B88" s="2"/>
      <c r="C88" s="2"/>
      <c r="D88" s="2"/>
      <c r="E88" s="2"/>
      <c r="F88" s="2"/>
    </row>
    <row r="89" spans="1:6" x14ac:dyDescent="0.35">
      <c r="A89" s="3" t="s">
        <v>69</v>
      </c>
      <c r="B89" s="2">
        <v>10</v>
      </c>
      <c r="C89" s="2"/>
      <c r="D89" s="2"/>
      <c r="E89" s="2"/>
      <c r="F89" s="2"/>
    </row>
    <row r="90" spans="1:6" x14ac:dyDescent="0.3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35">
      <c r="A91" s="3" t="s">
        <v>72</v>
      </c>
      <c r="B91" s="2"/>
      <c r="C91" s="2"/>
      <c r="D91" s="2"/>
      <c r="E91" s="2"/>
      <c r="F91" s="2"/>
    </row>
    <row r="92" spans="1:6" x14ac:dyDescent="0.3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3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3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35">
      <c r="A95" s="3" t="s">
        <v>79</v>
      </c>
      <c r="B95" s="2"/>
      <c r="C95" s="2"/>
      <c r="D95" s="2"/>
      <c r="E95" s="2"/>
      <c r="F95" s="2"/>
    </row>
    <row r="96" spans="1:6" x14ac:dyDescent="0.3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3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35">
      <c r="A98" s="3" t="s">
        <v>84</v>
      </c>
      <c r="B98" s="2">
        <v>13400</v>
      </c>
      <c r="C98" s="2"/>
      <c r="D98" s="2"/>
      <c r="E98" s="2"/>
      <c r="F98" s="2"/>
    </row>
    <row r="99" spans="1:6" x14ac:dyDescent="0.3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86</v>
      </c>
      <c r="B101" s="2"/>
      <c r="C101" s="2"/>
      <c r="D101" s="2"/>
      <c r="E101" s="2"/>
      <c r="F101" s="2"/>
    </row>
    <row r="102" spans="1:6" x14ac:dyDescent="0.35">
      <c r="A102" s="3" t="s">
        <v>87</v>
      </c>
      <c r="B102" s="2"/>
      <c r="C102" s="2"/>
      <c r="D102" s="2"/>
      <c r="E102" s="2"/>
      <c r="F102" s="2"/>
    </row>
    <row r="103" spans="1:6" x14ac:dyDescent="0.35">
      <c r="A103" s="3" t="s">
        <v>88</v>
      </c>
      <c r="B103" s="2"/>
      <c r="C103" s="2">
        <v>711</v>
      </c>
      <c r="D103" s="2"/>
      <c r="E103" s="2"/>
      <c r="F103" s="2"/>
    </row>
    <row r="104" spans="1:6" x14ac:dyDescent="0.3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3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3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3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35">
      <c r="A108" s="3" t="s">
        <v>89</v>
      </c>
      <c r="B108" s="2"/>
      <c r="C108" s="2"/>
      <c r="D108" s="2"/>
      <c r="E108" s="2"/>
      <c r="F108" s="2"/>
    </row>
    <row r="109" spans="1:6" x14ac:dyDescent="0.3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3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3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35">
      <c r="A112" s="3" t="s">
        <v>90</v>
      </c>
      <c r="B112" s="2"/>
      <c r="C112" s="2">
        <v>711</v>
      </c>
      <c r="D112" s="2"/>
      <c r="E112" s="2"/>
      <c r="F112" s="2"/>
    </row>
    <row r="113" spans="1:6" x14ac:dyDescent="0.3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3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3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3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35">
      <c r="A117" s="3" t="s">
        <v>89</v>
      </c>
      <c r="B117" s="2"/>
      <c r="C117" s="2"/>
      <c r="D117" s="2"/>
      <c r="E117" s="2"/>
      <c r="F117" s="2"/>
    </row>
    <row r="118" spans="1:6" x14ac:dyDescent="0.3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3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35">
      <c r="A121" s="3" t="s">
        <v>91</v>
      </c>
      <c r="B121" s="2"/>
      <c r="C121" s="2">
        <v>711</v>
      </c>
      <c r="D121" s="2"/>
      <c r="E121" s="2"/>
      <c r="F121" s="2"/>
    </row>
    <row r="122" spans="1:6" x14ac:dyDescent="0.3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3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3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3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35">
      <c r="A126" s="3" t="s">
        <v>89</v>
      </c>
      <c r="B126" s="2"/>
      <c r="C126" s="2"/>
      <c r="D126" s="2"/>
      <c r="E126" s="2"/>
      <c r="F126" s="2"/>
    </row>
    <row r="127" spans="1:6" x14ac:dyDescent="0.3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3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3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35">
      <c r="A130" s="3" t="s">
        <v>92</v>
      </c>
      <c r="B130" s="2"/>
      <c r="C130" s="2">
        <v>711</v>
      </c>
      <c r="D130" s="2"/>
      <c r="E130" s="2"/>
      <c r="F130" s="2"/>
    </row>
    <row r="131" spans="1:6" x14ac:dyDescent="0.3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3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3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3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35">
      <c r="A135" s="3" t="s">
        <v>89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3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3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35">
      <c r="A139" s="3" t="s">
        <v>93</v>
      </c>
      <c r="B139" s="2"/>
      <c r="C139" s="2"/>
      <c r="D139" s="2"/>
      <c r="E139" s="2"/>
      <c r="F139" s="2"/>
    </row>
    <row r="140" spans="1:6" x14ac:dyDescent="0.35">
      <c r="A140" s="3" t="s">
        <v>94</v>
      </c>
      <c r="B140" s="2" t="s">
        <v>95</v>
      </c>
      <c r="C140" s="2">
        <v>6</v>
      </c>
      <c r="D140" s="2"/>
      <c r="E140" s="2"/>
      <c r="F140" s="2"/>
    </row>
    <row r="141" spans="1:6" x14ac:dyDescent="0.35">
      <c r="A141" s="3" t="s">
        <v>96</v>
      </c>
      <c r="B141" s="2">
        <v>1</v>
      </c>
      <c r="C141" s="2"/>
      <c r="D141" s="2"/>
      <c r="E141" s="2"/>
      <c r="F141" s="2"/>
    </row>
    <row r="142" spans="1:6" x14ac:dyDescent="0.35">
      <c r="A142" s="3" t="s">
        <v>97</v>
      </c>
      <c r="B142" s="2">
        <v>2</v>
      </c>
      <c r="C142" s="2"/>
      <c r="D142" s="2"/>
      <c r="E142" s="2"/>
      <c r="F142" s="2"/>
    </row>
    <row r="143" spans="1:6" x14ac:dyDescent="0.35">
      <c r="A143" s="3" t="s">
        <v>98</v>
      </c>
      <c r="B143" s="2">
        <v>3</v>
      </c>
      <c r="C143" s="2"/>
      <c r="D143" s="2"/>
      <c r="E143" s="2"/>
      <c r="F143" s="2"/>
    </row>
    <row r="144" spans="1:6" x14ac:dyDescent="0.35">
      <c r="A144" s="3" t="s">
        <v>99</v>
      </c>
      <c r="B144" s="2">
        <v>4</v>
      </c>
      <c r="C144" s="2"/>
      <c r="D144" s="2"/>
      <c r="E144" s="2"/>
      <c r="F144" s="2"/>
    </row>
    <row r="145" spans="1:16" x14ac:dyDescent="0.35">
      <c r="A145" s="3" t="s">
        <v>100</v>
      </c>
      <c r="B145" s="2">
        <v>5</v>
      </c>
      <c r="C145" s="2"/>
      <c r="D145" s="2"/>
      <c r="E145" s="2"/>
      <c r="F145" s="2"/>
    </row>
    <row r="146" spans="1:16" x14ac:dyDescent="0.35">
      <c r="A146" s="3" t="s">
        <v>101</v>
      </c>
      <c r="B146" s="2">
        <v>6</v>
      </c>
      <c r="C146" s="2"/>
      <c r="D146" s="2"/>
      <c r="E146" s="2"/>
      <c r="F146" s="2"/>
    </row>
    <row r="148" spans="1:16" ht="17.5" x14ac:dyDescent="0.35">
      <c r="A148" s="1" t="s">
        <v>102</v>
      </c>
    </row>
    <row r="150" spans="1:16" x14ac:dyDescent="0.35">
      <c r="A150" s="3" t="s">
        <v>103</v>
      </c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35">
      <c r="A151" s="3" t="s">
        <v>104</v>
      </c>
      <c r="B151" s="3" t="s">
        <v>42</v>
      </c>
      <c r="C151" s="3" t="s">
        <v>105</v>
      </c>
      <c r="D151" s="3" t="s">
        <v>123</v>
      </c>
      <c r="E151" s="3" t="s">
        <v>43</v>
      </c>
      <c r="F151" s="3" t="s">
        <v>105</v>
      </c>
      <c r="G151" s="3" t="s">
        <v>123</v>
      </c>
      <c r="H151" s="3" t="s">
        <v>44</v>
      </c>
      <c r="I151" s="3" t="s">
        <v>105</v>
      </c>
      <c r="J151" s="3" t="s">
        <v>123</v>
      </c>
      <c r="K151" s="3" t="s">
        <v>45</v>
      </c>
      <c r="L151" s="3" t="s">
        <v>105</v>
      </c>
      <c r="M151" s="3" t="s">
        <v>123</v>
      </c>
      <c r="N151" s="3" t="s">
        <v>106</v>
      </c>
      <c r="O151" s="3" t="s">
        <v>9</v>
      </c>
      <c r="P151" s="2"/>
    </row>
    <row r="152" spans="1:16" x14ac:dyDescent="0.35">
      <c r="A152" s="3"/>
      <c r="B152" s="2">
        <v>1.7619</v>
      </c>
      <c r="C152" s="2">
        <v>8.1199999999999994E-2</v>
      </c>
      <c r="D152" s="2">
        <v>21.706600000000002</v>
      </c>
      <c r="E152" s="2">
        <v>0.31869999999999998</v>
      </c>
      <c r="F152" s="2">
        <v>0.1038</v>
      </c>
      <c r="G152" s="2">
        <v>3.0691999999999999</v>
      </c>
      <c r="H152" s="2">
        <v>0.44890000000000002</v>
      </c>
      <c r="I152" s="2">
        <v>9.4299999999999995E-2</v>
      </c>
      <c r="J152" s="2">
        <v>4.7582000000000004</v>
      </c>
      <c r="K152" s="2">
        <v>-2.5293999999999999</v>
      </c>
      <c r="L152" s="2">
        <v>0.2039</v>
      </c>
      <c r="M152" s="2">
        <v>-12.4078</v>
      </c>
      <c r="N152" s="2">
        <v>526.49680000000001</v>
      </c>
      <c r="O152" s="4">
        <v>8.6000000000000001E-114</v>
      </c>
      <c r="P152" s="2"/>
    </row>
    <row r="153" spans="1:16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35">
      <c r="A154" s="3" t="s">
        <v>107</v>
      </c>
      <c r="B154" s="3" t="s">
        <v>42</v>
      </c>
      <c r="C154" s="3" t="s">
        <v>105</v>
      </c>
      <c r="D154" s="3" t="s">
        <v>123</v>
      </c>
      <c r="E154" s="3" t="s">
        <v>43</v>
      </c>
      <c r="F154" s="3" t="s">
        <v>105</v>
      </c>
      <c r="G154" s="3" t="s">
        <v>123</v>
      </c>
      <c r="H154" s="3" t="s">
        <v>44</v>
      </c>
      <c r="I154" s="3" t="s">
        <v>105</v>
      </c>
      <c r="J154" s="3" t="s">
        <v>123</v>
      </c>
      <c r="K154" s="3" t="s">
        <v>45</v>
      </c>
      <c r="L154" s="3" t="s">
        <v>105</v>
      </c>
      <c r="M154" s="3" t="s">
        <v>123</v>
      </c>
      <c r="N154" s="14" t="s">
        <v>106</v>
      </c>
      <c r="O154" s="14" t="s">
        <v>9</v>
      </c>
      <c r="P154" s="2"/>
    </row>
    <row r="155" spans="1:16" x14ac:dyDescent="0.35">
      <c r="A155" s="3" t="s">
        <v>94</v>
      </c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15"/>
      <c r="O155" s="15"/>
      <c r="P155" s="2"/>
    </row>
    <row r="156" spans="1:16" x14ac:dyDescent="0.35">
      <c r="A156" s="3" t="s">
        <v>96</v>
      </c>
      <c r="B156" s="2">
        <v>-0.15179999999999999</v>
      </c>
      <c r="C156" s="2">
        <v>0.1278</v>
      </c>
      <c r="D156" s="2">
        <v>-1.1880999999999999</v>
      </c>
      <c r="E156" s="2">
        <v>6.3E-3</v>
      </c>
      <c r="F156" s="2">
        <v>0.1636</v>
      </c>
      <c r="G156" s="2">
        <v>3.8199999999999998E-2</v>
      </c>
      <c r="H156" s="2">
        <v>-0.54020000000000001</v>
      </c>
      <c r="I156" s="2">
        <v>0.16919999999999999</v>
      </c>
      <c r="J156" s="2">
        <v>-3.1922000000000001</v>
      </c>
      <c r="K156" s="2">
        <v>0.68569999999999998</v>
      </c>
      <c r="L156" s="2">
        <v>0.30940000000000001</v>
      </c>
      <c r="M156" s="2">
        <v>2.2164999999999999</v>
      </c>
      <c r="N156" s="15">
        <v>37.651499999999999</v>
      </c>
      <c r="O156" s="15">
        <v>1E-3</v>
      </c>
      <c r="P156" s="2"/>
    </row>
    <row r="157" spans="1:16" x14ac:dyDescent="0.35">
      <c r="A157" s="3" t="s">
        <v>97</v>
      </c>
      <c r="B157" s="2">
        <v>-0.52439999999999998</v>
      </c>
      <c r="C157" s="2">
        <v>0.17430000000000001</v>
      </c>
      <c r="D157" s="2">
        <v>-3.0093999999999999</v>
      </c>
      <c r="E157" s="2">
        <v>0.1517</v>
      </c>
      <c r="F157" s="2">
        <v>0.26200000000000001</v>
      </c>
      <c r="G157" s="2">
        <v>0.57930000000000004</v>
      </c>
      <c r="H157" s="2">
        <v>-5.1799999999999999E-2</v>
      </c>
      <c r="I157" s="2">
        <v>0.21429999999999999</v>
      </c>
      <c r="J157" s="2">
        <v>-0.24160000000000001</v>
      </c>
      <c r="K157" s="2">
        <v>0.42449999999999999</v>
      </c>
      <c r="L157" s="2">
        <v>0.372</v>
      </c>
      <c r="M157" s="2">
        <v>1.141</v>
      </c>
      <c r="N157" s="2"/>
      <c r="O157" s="2"/>
      <c r="P157" s="2"/>
    </row>
    <row r="158" spans="1:16" x14ac:dyDescent="0.35">
      <c r="A158" s="3" t="s">
        <v>98</v>
      </c>
      <c r="B158" s="2">
        <v>0.11409999999999999</v>
      </c>
      <c r="C158" s="2">
        <v>0.18079999999999999</v>
      </c>
      <c r="D158" s="2">
        <v>0.63149999999999995</v>
      </c>
      <c r="E158" s="2">
        <v>-0.1439</v>
      </c>
      <c r="F158" s="2">
        <v>0.24049999999999999</v>
      </c>
      <c r="G158" s="2">
        <v>-0.59850000000000003</v>
      </c>
      <c r="H158" s="2">
        <v>0.39019999999999999</v>
      </c>
      <c r="I158" s="2">
        <v>0.19989999999999999</v>
      </c>
      <c r="J158" s="2">
        <v>1.9519</v>
      </c>
      <c r="K158" s="2">
        <v>-0.3604</v>
      </c>
      <c r="L158" s="2">
        <v>0.43669999999999998</v>
      </c>
      <c r="M158" s="2">
        <v>-0.82530000000000003</v>
      </c>
      <c r="N158" s="2"/>
      <c r="O158" s="2"/>
      <c r="P158" s="2"/>
    </row>
    <row r="159" spans="1:16" x14ac:dyDescent="0.35">
      <c r="A159" s="3" t="s">
        <v>99</v>
      </c>
      <c r="B159" s="2">
        <v>0.2447</v>
      </c>
      <c r="C159" s="2">
        <v>0.1983</v>
      </c>
      <c r="D159" s="2">
        <v>1.2341</v>
      </c>
      <c r="E159" s="2">
        <v>-9.5999999999999992E-3</v>
      </c>
      <c r="F159" s="2">
        <v>0.22720000000000001</v>
      </c>
      <c r="G159" s="2">
        <v>-4.2299999999999997E-2</v>
      </c>
      <c r="H159" s="2">
        <v>-6.6E-3</v>
      </c>
      <c r="I159" s="2">
        <v>0.21579999999999999</v>
      </c>
      <c r="J159" s="2">
        <v>-3.04E-2</v>
      </c>
      <c r="K159" s="2">
        <v>-0.2286</v>
      </c>
      <c r="L159" s="2">
        <v>0.5252</v>
      </c>
      <c r="M159" s="2">
        <v>-0.43519999999999998</v>
      </c>
      <c r="N159" s="2"/>
      <c r="O159" s="2"/>
      <c r="P159" s="2"/>
    </row>
    <row r="160" spans="1:16" x14ac:dyDescent="0.35">
      <c r="A160" s="3" t="s">
        <v>100</v>
      </c>
      <c r="B160" s="2">
        <v>0.74280000000000002</v>
      </c>
      <c r="C160" s="2">
        <v>0.21629999999999999</v>
      </c>
      <c r="D160" s="2">
        <v>3.4344000000000001</v>
      </c>
      <c r="E160" s="2">
        <v>0.39379999999999998</v>
      </c>
      <c r="F160" s="2">
        <v>0.2475</v>
      </c>
      <c r="G160" s="2">
        <v>1.5911999999999999</v>
      </c>
      <c r="H160" s="2">
        <v>0.442</v>
      </c>
      <c r="I160" s="2">
        <v>0.24060000000000001</v>
      </c>
      <c r="J160" s="2">
        <v>1.8369</v>
      </c>
      <c r="K160" s="2">
        <v>-1.5785</v>
      </c>
      <c r="L160" s="2">
        <v>0.60719999999999996</v>
      </c>
      <c r="M160" s="2">
        <v>-2.5998999999999999</v>
      </c>
      <c r="N160" s="2"/>
      <c r="O160" s="2"/>
      <c r="P160" s="2"/>
    </row>
    <row r="161" spans="1:16" x14ac:dyDescent="0.35">
      <c r="A161" s="3" t="s">
        <v>101</v>
      </c>
      <c r="B161" s="2">
        <v>-0.4254</v>
      </c>
      <c r="C161" s="2">
        <v>0.1794</v>
      </c>
      <c r="D161" s="2">
        <v>-2.3721000000000001</v>
      </c>
      <c r="E161" s="2">
        <v>-0.3982</v>
      </c>
      <c r="F161" s="2">
        <v>0.23949999999999999</v>
      </c>
      <c r="G161" s="2">
        <v>-1.6628000000000001</v>
      </c>
      <c r="H161" s="2">
        <v>-0.23369999999999999</v>
      </c>
      <c r="I161" s="2">
        <v>0.21909999999999999</v>
      </c>
      <c r="J161" s="2">
        <v>-1.0666</v>
      </c>
      <c r="K161" s="2">
        <v>1.0572999999999999</v>
      </c>
      <c r="L161" s="2">
        <v>0.42130000000000001</v>
      </c>
      <c r="M161" s="2">
        <v>2.5097</v>
      </c>
      <c r="N161" s="2"/>
      <c r="O161" s="2"/>
      <c r="P161" s="2"/>
    </row>
    <row r="162" spans="1:16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4" spans="1:16" ht="17.5" x14ac:dyDescent="0.35">
      <c r="A164" s="1" t="s">
        <v>108</v>
      </c>
    </row>
    <row r="166" spans="1:16" x14ac:dyDescent="0.35">
      <c r="A166" s="3" t="s">
        <v>103</v>
      </c>
      <c r="B166" s="3"/>
      <c r="C166" s="3"/>
      <c r="D166" s="3" t="s">
        <v>106</v>
      </c>
      <c r="E166" s="3" t="s">
        <v>109</v>
      </c>
      <c r="F166" s="3" t="s">
        <v>9</v>
      </c>
    </row>
    <row r="167" spans="1:16" x14ac:dyDescent="0.35">
      <c r="A167" s="3" t="s">
        <v>104</v>
      </c>
      <c r="B167" s="2"/>
      <c r="C167" s="2"/>
      <c r="D167" s="2"/>
      <c r="E167" s="2"/>
      <c r="F167" s="2"/>
    </row>
    <row r="168" spans="1:16" x14ac:dyDescent="0.35">
      <c r="A168" s="3" t="s">
        <v>110</v>
      </c>
      <c r="B168" s="3">
        <v>1</v>
      </c>
      <c r="C168" s="3">
        <v>2</v>
      </c>
      <c r="D168" s="2">
        <v>163.04419999999999</v>
      </c>
      <c r="E168" s="2">
        <v>1</v>
      </c>
      <c r="F168" s="4">
        <v>2.3999999999999999E-37</v>
      </c>
    </row>
    <row r="169" spans="1:16" x14ac:dyDescent="0.35">
      <c r="A169" s="3" t="s">
        <v>110</v>
      </c>
      <c r="B169" s="3">
        <v>1</v>
      </c>
      <c r="C169" s="3">
        <v>3</v>
      </c>
      <c r="D169" s="2">
        <v>218.2304</v>
      </c>
      <c r="E169" s="2">
        <v>1</v>
      </c>
      <c r="F169" s="4">
        <v>2.1999999999999999E-49</v>
      </c>
    </row>
    <row r="170" spans="1:16" x14ac:dyDescent="0.35">
      <c r="A170" s="3" t="s">
        <v>110</v>
      </c>
      <c r="B170" s="3">
        <v>1</v>
      </c>
      <c r="C170" s="3">
        <v>4</v>
      </c>
      <c r="D170" s="2">
        <v>250.52930000000001</v>
      </c>
      <c r="E170" s="2">
        <v>1</v>
      </c>
      <c r="F170" s="4">
        <v>2.0000000000000001E-56</v>
      </c>
    </row>
    <row r="171" spans="1:16" x14ac:dyDescent="0.35">
      <c r="A171" s="3" t="s">
        <v>110</v>
      </c>
      <c r="B171" s="3">
        <v>2</v>
      </c>
      <c r="C171" s="3">
        <v>3</v>
      </c>
      <c r="D171" s="2">
        <v>1.0226</v>
      </c>
      <c r="E171" s="2">
        <v>1</v>
      </c>
      <c r="F171" s="2">
        <v>0.31</v>
      </c>
    </row>
    <row r="172" spans="1:16" x14ac:dyDescent="0.35">
      <c r="A172" s="3" t="s">
        <v>110</v>
      </c>
      <c r="B172" s="3">
        <v>2</v>
      </c>
      <c r="C172" s="3">
        <v>4</v>
      </c>
      <c r="D172" s="2">
        <v>99.403599999999997</v>
      </c>
      <c r="E172" s="2">
        <v>1</v>
      </c>
      <c r="F172" s="4">
        <v>2.1000000000000001E-23</v>
      </c>
    </row>
    <row r="173" spans="1:16" x14ac:dyDescent="0.35">
      <c r="A173" s="3" t="s">
        <v>110</v>
      </c>
      <c r="B173" s="3">
        <v>3</v>
      </c>
      <c r="C173" s="3">
        <v>4</v>
      </c>
      <c r="D173" s="2">
        <v>112.35339999999999</v>
      </c>
      <c r="E173" s="2">
        <v>1</v>
      </c>
      <c r="F173" s="4">
        <v>3.0000000000000001E-26</v>
      </c>
    </row>
    <row r="174" spans="1:16" x14ac:dyDescent="0.35">
      <c r="A174" s="3" t="s">
        <v>94</v>
      </c>
      <c r="B174" s="2"/>
      <c r="C174" s="2"/>
      <c r="D174" s="2"/>
      <c r="E174" s="2"/>
      <c r="F174" s="2"/>
    </row>
    <row r="175" spans="1:16" x14ac:dyDescent="0.35">
      <c r="A175" s="3" t="s">
        <v>110</v>
      </c>
      <c r="B175" s="3">
        <v>1</v>
      </c>
      <c r="C175" s="3">
        <v>2</v>
      </c>
      <c r="D175" s="2">
        <v>8.5707000000000004</v>
      </c>
      <c r="E175" s="2">
        <v>5</v>
      </c>
      <c r="F175" s="2">
        <v>0.13</v>
      </c>
    </row>
    <row r="176" spans="1:16" x14ac:dyDescent="0.35">
      <c r="A176" s="3" t="s">
        <v>110</v>
      </c>
      <c r="B176" s="3">
        <v>1</v>
      </c>
      <c r="C176" s="3">
        <v>3</v>
      </c>
      <c r="D176" s="2">
        <v>13.498200000000001</v>
      </c>
      <c r="E176" s="2">
        <v>5</v>
      </c>
      <c r="F176" s="2">
        <v>1.9E-2</v>
      </c>
    </row>
    <row r="177" spans="1:9" x14ac:dyDescent="0.35">
      <c r="A177" s="3" t="s">
        <v>110</v>
      </c>
      <c r="B177" s="3">
        <v>1</v>
      </c>
      <c r="C177" s="3">
        <v>4</v>
      </c>
      <c r="D177" s="2">
        <v>17.353400000000001</v>
      </c>
      <c r="E177" s="2">
        <v>5</v>
      </c>
      <c r="F177" s="2">
        <v>3.8999999999999998E-3</v>
      </c>
    </row>
    <row r="178" spans="1:9" x14ac:dyDescent="0.35">
      <c r="A178" s="3" t="s">
        <v>110</v>
      </c>
      <c r="B178" s="3">
        <v>2</v>
      </c>
      <c r="C178" s="3">
        <v>3</v>
      </c>
      <c r="D178" s="2">
        <v>8.1371000000000002</v>
      </c>
      <c r="E178" s="2">
        <v>5</v>
      </c>
      <c r="F178" s="2">
        <v>0.15</v>
      </c>
    </row>
    <row r="179" spans="1:9" x14ac:dyDescent="0.35">
      <c r="A179" s="3" t="s">
        <v>110</v>
      </c>
      <c r="B179" s="3">
        <v>2</v>
      </c>
      <c r="C179" s="3">
        <v>4</v>
      </c>
      <c r="D179" s="2">
        <v>10.8268</v>
      </c>
      <c r="E179" s="2">
        <v>5</v>
      </c>
      <c r="F179" s="2">
        <v>5.5E-2</v>
      </c>
    </row>
    <row r="180" spans="1:9" x14ac:dyDescent="0.35">
      <c r="A180" s="3" t="s">
        <v>110</v>
      </c>
      <c r="B180" s="3">
        <v>3</v>
      </c>
      <c r="C180" s="3">
        <v>4</v>
      </c>
      <c r="D180" s="2">
        <v>16.150200000000002</v>
      </c>
      <c r="E180" s="2">
        <v>5</v>
      </c>
      <c r="F180" s="2">
        <v>6.4000000000000003E-3</v>
      </c>
    </row>
    <row r="182" spans="1:9" ht="17.5" x14ac:dyDescent="0.35">
      <c r="A182" s="1" t="s">
        <v>111</v>
      </c>
    </row>
    <row r="184" spans="1:9" x14ac:dyDescent="0.35">
      <c r="A184" s="2"/>
      <c r="B184" s="3" t="s">
        <v>42</v>
      </c>
      <c r="C184" s="3" t="s">
        <v>105</v>
      </c>
      <c r="D184" s="3" t="s">
        <v>43</v>
      </c>
      <c r="E184" s="3" t="s">
        <v>105</v>
      </c>
      <c r="F184" s="3" t="s">
        <v>44</v>
      </c>
      <c r="G184" s="3" t="s">
        <v>105</v>
      </c>
      <c r="H184" s="3" t="s">
        <v>45</v>
      </c>
      <c r="I184" s="3" t="s">
        <v>105</v>
      </c>
    </row>
    <row r="185" spans="1:9" x14ac:dyDescent="0.35">
      <c r="A185" s="3" t="s">
        <v>112</v>
      </c>
      <c r="B185" s="2">
        <v>0.65720000000000001</v>
      </c>
      <c r="C185" s="2">
        <v>1.8800000000000001E-2</v>
      </c>
      <c r="D185" s="2">
        <v>0.1661</v>
      </c>
      <c r="E185" s="2">
        <v>1.61E-2</v>
      </c>
      <c r="F185" s="2">
        <v>0.1603</v>
      </c>
      <c r="G185" s="2">
        <v>1.4E-2</v>
      </c>
      <c r="H185" s="2">
        <v>1.6500000000000001E-2</v>
      </c>
      <c r="I185" s="2">
        <v>4.4999999999999997E-3</v>
      </c>
    </row>
    <row r="186" spans="1:9" x14ac:dyDescent="0.35">
      <c r="A186" s="3" t="s">
        <v>107</v>
      </c>
      <c r="B186" s="2"/>
      <c r="C186" s="2"/>
      <c r="D186" s="2"/>
      <c r="E186" s="2"/>
      <c r="F186" s="2"/>
      <c r="G186" s="2"/>
      <c r="H186" s="2"/>
      <c r="I186" s="2"/>
    </row>
    <row r="187" spans="1:9" x14ac:dyDescent="0.35">
      <c r="A187" s="3" t="s">
        <v>94</v>
      </c>
      <c r="B187" s="2"/>
      <c r="C187" s="2"/>
      <c r="D187" s="2"/>
      <c r="E187" s="2"/>
      <c r="F187" s="2"/>
      <c r="G187" s="2"/>
      <c r="H187" s="2"/>
      <c r="I187" s="2"/>
    </row>
    <row r="188" spans="1:9" x14ac:dyDescent="0.35">
      <c r="A188" s="3" t="s">
        <v>96</v>
      </c>
      <c r="B188" s="2">
        <v>0.54279999999999995</v>
      </c>
      <c r="C188" s="2" t="s">
        <v>11</v>
      </c>
      <c r="D188" s="2">
        <v>0.59419999999999995</v>
      </c>
      <c r="E188" s="2" t="s">
        <v>11</v>
      </c>
      <c r="F188" s="2">
        <v>0.40600000000000003</v>
      </c>
      <c r="G188" s="2" t="s">
        <v>11</v>
      </c>
      <c r="H188" s="2">
        <v>0.68559999999999999</v>
      </c>
      <c r="I188" s="2" t="s">
        <v>11</v>
      </c>
    </row>
    <row r="189" spans="1:9" x14ac:dyDescent="0.35">
      <c r="A189" s="3" t="s">
        <v>97</v>
      </c>
      <c r="B189" s="2">
        <v>0.06</v>
      </c>
      <c r="C189" s="2" t="s">
        <v>11</v>
      </c>
      <c r="D189" s="2">
        <v>0.11020000000000001</v>
      </c>
      <c r="E189" s="2" t="s">
        <v>11</v>
      </c>
      <c r="F189" s="2">
        <v>0.1061</v>
      </c>
      <c r="G189" s="2" t="s">
        <v>11</v>
      </c>
      <c r="H189" s="2">
        <v>8.4699999999999998E-2</v>
      </c>
      <c r="I189" s="2" t="s">
        <v>11</v>
      </c>
    </row>
    <row r="190" spans="1:9" x14ac:dyDescent="0.35">
      <c r="A190" s="3" t="s">
        <v>98</v>
      </c>
      <c r="B190" s="2">
        <v>0.20680000000000001</v>
      </c>
      <c r="C190" s="2" t="s">
        <v>11</v>
      </c>
      <c r="D190" s="2">
        <v>0.14929999999999999</v>
      </c>
      <c r="E190" s="2" t="s">
        <v>11</v>
      </c>
      <c r="F190" s="2">
        <v>0.30059999999999998</v>
      </c>
      <c r="G190" s="2" t="s">
        <v>11</v>
      </c>
      <c r="H190" s="2">
        <v>7.0300000000000001E-2</v>
      </c>
      <c r="I190" s="2" t="s">
        <v>11</v>
      </c>
    </row>
    <row r="191" spans="1:9" x14ac:dyDescent="0.35">
      <c r="A191" s="3" t="s">
        <v>99</v>
      </c>
      <c r="B191" s="2">
        <v>5.4800000000000001E-2</v>
      </c>
      <c r="C191" s="2" t="s">
        <v>11</v>
      </c>
      <c r="D191" s="2">
        <v>3.9699999999999999E-2</v>
      </c>
      <c r="E191" s="2" t="s">
        <v>11</v>
      </c>
      <c r="F191" s="2">
        <v>4.7E-2</v>
      </c>
      <c r="G191" s="2" t="s">
        <v>11</v>
      </c>
      <c r="H191" s="2">
        <v>1.8700000000000001E-2</v>
      </c>
      <c r="I191" s="2" t="s">
        <v>11</v>
      </c>
    </row>
    <row r="192" spans="1:9" x14ac:dyDescent="0.35">
      <c r="A192" s="3" t="s">
        <v>100</v>
      </c>
      <c r="B192" s="2">
        <v>7.8899999999999998E-2</v>
      </c>
      <c r="C192" s="2" t="s">
        <v>11</v>
      </c>
      <c r="D192" s="2">
        <v>5.1999999999999998E-2</v>
      </c>
      <c r="E192" s="2" t="s">
        <v>11</v>
      </c>
      <c r="F192" s="2">
        <v>6.4399999999999999E-2</v>
      </c>
      <c r="G192" s="2" t="s">
        <v>11</v>
      </c>
      <c r="H192" s="2">
        <v>4.1999999999999997E-3</v>
      </c>
      <c r="I192" s="2" t="s">
        <v>11</v>
      </c>
    </row>
    <row r="193" spans="1:9" x14ac:dyDescent="0.35">
      <c r="A193" s="3" t="s">
        <v>101</v>
      </c>
      <c r="B193" s="2">
        <v>5.67E-2</v>
      </c>
      <c r="C193" s="2" t="s">
        <v>11</v>
      </c>
      <c r="D193" s="2">
        <v>5.45E-2</v>
      </c>
      <c r="E193" s="2" t="s">
        <v>11</v>
      </c>
      <c r="F193" s="2">
        <v>7.5800000000000006E-2</v>
      </c>
      <c r="G193" s="2" t="s">
        <v>11</v>
      </c>
      <c r="H193" s="2">
        <v>0.13650000000000001</v>
      </c>
      <c r="I193" s="2" t="s">
        <v>11</v>
      </c>
    </row>
    <row r="195" spans="1:9" ht="17.5" x14ac:dyDescent="0.35">
      <c r="A195" s="1" t="s">
        <v>113</v>
      </c>
    </row>
    <row r="197" spans="1:9" x14ac:dyDescent="0.35">
      <c r="A197" s="2"/>
      <c r="B197" s="3" t="s">
        <v>42</v>
      </c>
      <c r="C197" s="3" t="s">
        <v>43</v>
      </c>
      <c r="D197" s="3" t="s">
        <v>44</v>
      </c>
      <c r="E197" s="3" t="s">
        <v>45</v>
      </c>
    </row>
    <row r="198" spans="1:9" x14ac:dyDescent="0.35">
      <c r="A198" s="3" t="s">
        <v>114</v>
      </c>
      <c r="B198" s="2">
        <v>0.65720000000000001</v>
      </c>
      <c r="C198" s="2">
        <v>0.1661</v>
      </c>
      <c r="D198" s="2">
        <v>0.1603</v>
      </c>
      <c r="E198" s="2">
        <v>1.6500000000000001E-2</v>
      </c>
    </row>
    <row r="199" spans="1:9" x14ac:dyDescent="0.35">
      <c r="A199" s="3" t="s">
        <v>107</v>
      </c>
      <c r="B199" s="2"/>
      <c r="C199" s="2"/>
      <c r="D199" s="2"/>
      <c r="E199" s="2"/>
    </row>
    <row r="200" spans="1:9" x14ac:dyDescent="0.35">
      <c r="A200" s="3" t="s">
        <v>94</v>
      </c>
      <c r="B200" s="2"/>
      <c r="C200" s="2"/>
      <c r="D200" s="2"/>
      <c r="E200" s="2"/>
    </row>
    <row r="201" spans="1:9" x14ac:dyDescent="0.35">
      <c r="A201" s="3" t="s">
        <v>96</v>
      </c>
      <c r="B201" s="2">
        <v>0.67079999999999995</v>
      </c>
      <c r="C201" s="2">
        <v>0.18559999999999999</v>
      </c>
      <c r="D201" s="2">
        <v>0.12239999999999999</v>
      </c>
      <c r="E201" s="2">
        <v>2.12E-2</v>
      </c>
    </row>
    <row r="202" spans="1:9" x14ac:dyDescent="0.35">
      <c r="A202" s="3" t="s">
        <v>97</v>
      </c>
      <c r="B202" s="2">
        <v>0.51780000000000004</v>
      </c>
      <c r="C202" s="2">
        <v>0.24049999999999999</v>
      </c>
      <c r="D202" s="2">
        <v>0.2235</v>
      </c>
      <c r="E202" s="2">
        <v>1.83E-2</v>
      </c>
    </row>
    <row r="203" spans="1:9" x14ac:dyDescent="0.35">
      <c r="A203" s="3" t="s">
        <v>98</v>
      </c>
      <c r="B203" s="2">
        <v>0.64700000000000002</v>
      </c>
      <c r="C203" s="2">
        <v>0.1181</v>
      </c>
      <c r="D203" s="2">
        <v>0.22939999999999999</v>
      </c>
      <c r="E203" s="2">
        <v>5.4999999999999997E-3</v>
      </c>
    </row>
    <row r="204" spans="1:9" x14ac:dyDescent="0.35">
      <c r="A204" s="3" t="s">
        <v>99</v>
      </c>
      <c r="B204" s="2">
        <v>0.71379999999999999</v>
      </c>
      <c r="C204" s="2">
        <v>0.13070000000000001</v>
      </c>
      <c r="D204" s="2">
        <v>0.14940000000000001</v>
      </c>
      <c r="E204" s="2">
        <v>6.1000000000000004E-3</v>
      </c>
    </row>
    <row r="205" spans="1:9" x14ac:dyDescent="0.35">
      <c r="A205" s="3" t="s">
        <v>100</v>
      </c>
      <c r="B205" s="2">
        <v>0.73150000000000004</v>
      </c>
      <c r="C205" s="2">
        <v>0.12189999999999999</v>
      </c>
      <c r="D205" s="2">
        <v>0.1457</v>
      </c>
      <c r="E205" s="2">
        <v>1E-3</v>
      </c>
    </row>
    <row r="206" spans="1:9" x14ac:dyDescent="0.35">
      <c r="A206" s="3" t="s">
        <v>101</v>
      </c>
      <c r="B206" s="2">
        <v>0.6139</v>
      </c>
      <c r="C206" s="2">
        <v>0.14899999999999999</v>
      </c>
      <c r="D206" s="2">
        <v>0.2001</v>
      </c>
      <c r="E206" s="2">
        <v>3.6999999999999998E-2</v>
      </c>
    </row>
    <row r="208" spans="1:9" ht="17.5" x14ac:dyDescent="0.35">
      <c r="A208" s="1" t="s">
        <v>115</v>
      </c>
    </row>
    <row r="210" spans="1:9" x14ac:dyDescent="0.35">
      <c r="A210" s="2"/>
      <c r="B210" s="20" t="s">
        <v>110</v>
      </c>
      <c r="C210" s="21"/>
      <c r="D210" s="21"/>
      <c r="E210" s="21"/>
      <c r="F210" s="21"/>
      <c r="G210" s="21"/>
      <c r="H210" s="21"/>
      <c r="I210" s="22"/>
    </row>
    <row r="211" spans="1:9" x14ac:dyDescent="0.35">
      <c r="A211" s="3" t="s">
        <v>94</v>
      </c>
      <c r="B211" s="3">
        <v>1</v>
      </c>
      <c r="C211" s="3" t="s">
        <v>105</v>
      </c>
      <c r="D211" s="3">
        <v>2</v>
      </c>
      <c r="E211" s="3" t="s">
        <v>105</v>
      </c>
      <c r="F211" s="3">
        <v>3</v>
      </c>
      <c r="G211" s="3" t="s">
        <v>105</v>
      </c>
      <c r="H211" s="3">
        <v>4</v>
      </c>
      <c r="I211" s="3" t="s">
        <v>105</v>
      </c>
    </row>
    <row r="212" spans="1:9" x14ac:dyDescent="0.35">
      <c r="A212" s="3" t="s">
        <v>96</v>
      </c>
      <c r="B212" s="2">
        <v>0.67079999999999995</v>
      </c>
      <c r="C212" s="2">
        <v>2.86E-2</v>
      </c>
      <c r="D212" s="2">
        <v>0.18559999999999999</v>
      </c>
      <c r="E212" s="2">
        <v>2.52E-2</v>
      </c>
      <c r="F212" s="2">
        <v>0.12239999999999999</v>
      </c>
      <c r="G212" s="2">
        <v>2.06E-2</v>
      </c>
      <c r="H212" s="2">
        <v>2.12E-2</v>
      </c>
      <c r="I212" s="2">
        <v>7.7999999999999996E-3</v>
      </c>
    </row>
    <row r="213" spans="1:9" x14ac:dyDescent="0.35">
      <c r="A213" s="3" t="s">
        <v>97</v>
      </c>
      <c r="B213" s="2">
        <v>0.51780000000000004</v>
      </c>
      <c r="C213" s="2">
        <v>6.1199999999999997E-2</v>
      </c>
      <c r="D213" s="2">
        <v>0.24049999999999999</v>
      </c>
      <c r="E213" s="2">
        <v>6.7699999999999996E-2</v>
      </c>
      <c r="F213" s="2">
        <v>0.2235</v>
      </c>
      <c r="G213" s="2">
        <v>4.6600000000000003E-2</v>
      </c>
      <c r="H213" s="2">
        <v>1.83E-2</v>
      </c>
      <c r="I213" s="2">
        <v>8.9999999999999993E-3</v>
      </c>
    </row>
    <row r="214" spans="1:9" x14ac:dyDescent="0.35">
      <c r="A214" s="3" t="s">
        <v>98</v>
      </c>
      <c r="B214" s="2">
        <v>0.64700000000000002</v>
      </c>
      <c r="C214" s="2">
        <v>4.3400000000000001E-2</v>
      </c>
      <c r="D214" s="2">
        <v>0.1181</v>
      </c>
      <c r="E214" s="2">
        <v>3.1399999999999997E-2</v>
      </c>
      <c r="F214" s="2">
        <v>0.22939999999999999</v>
      </c>
      <c r="G214" s="2">
        <v>3.5000000000000003E-2</v>
      </c>
      <c r="H214" s="2">
        <v>5.4999999999999997E-3</v>
      </c>
      <c r="I214" s="2">
        <v>3.3999999999999998E-3</v>
      </c>
    </row>
    <row r="215" spans="1:9" x14ac:dyDescent="0.35">
      <c r="A215" s="3" t="s">
        <v>99</v>
      </c>
      <c r="B215" s="2">
        <v>0.71379999999999999</v>
      </c>
      <c r="C215" s="2">
        <v>3.4799999999999998E-2</v>
      </c>
      <c r="D215" s="2">
        <v>0.13070000000000001</v>
      </c>
      <c r="E215" s="2">
        <v>2.4400000000000002E-2</v>
      </c>
      <c r="F215" s="2">
        <v>0.14940000000000001</v>
      </c>
      <c r="G215" s="2">
        <v>2.41E-2</v>
      </c>
      <c r="H215" s="2">
        <v>6.1000000000000004E-3</v>
      </c>
      <c r="I215" s="2">
        <v>4.7999999999999996E-3</v>
      </c>
    </row>
    <row r="216" spans="1:9" x14ac:dyDescent="0.35">
      <c r="A216" s="3" t="s">
        <v>100</v>
      </c>
      <c r="B216" s="2">
        <v>0.73150000000000004</v>
      </c>
      <c r="C216" s="2">
        <v>2.8000000000000001E-2</v>
      </c>
      <c r="D216" s="2">
        <v>0.12189999999999999</v>
      </c>
      <c r="E216" s="2">
        <v>2.2499999999999999E-2</v>
      </c>
      <c r="F216" s="2">
        <v>0.1457</v>
      </c>
      <c r="G216" s="2">
        <v>2.1000000000000001E-2</v>
      </c>
      <c r="H216" s="2">
        <v>1E-3</v>
      </c>
      <c r="I216" s="2">
        <v>8.9999999999999998E-4</v>
      </c>
    </row>
    <row r="217" spans="1:9" x14ac:dyDescent="0.35">
      <c r="A217" s="3" t="s">
        <v>101</v>
      </c>
      <c r="B217" s="2">
        <v>0.6139</v>
      </c>
      <c r="C217" s="2">
        <v>5.0299999999999997E-2</v>
      </c>
      <c r="D217" s="2">
        <v>0.14899999999999999</v>
      </c>
      <c r="E217" s="2">
        <v>3.8600000000000002E-2</v>
      </c>
      <c r="F217" s="2">
        <v>0.2001</v>
      </c>
      <c r="G217" s="2">
        <v>4.07E-2</v>
      </c>
      <c r="H217" s="2">
        <v>3.6999999999999998E-2</v>
      </c>
      <c r="I217" s="2">
        <v>2.1299999999999999E-2</v>
      </c>
    </row>
    <row r="218" spans="1:9" x14ac:dyDescent="0.35">
      <c r="A218" s="23"/>
      <c r="B218" s="24"/>
      <c r="C218" s="24"/>
      <c r="D218" s="24"/>
      <c r="E218" s="24"/>
      <c r="F218" s="24"/>
      <c r="G218" s="24"/>
      <c r="H218" s="24"/>
      <c r="I218" s="25"/>
    </row>
    <row r="219" spans="1:9" x14ac:dyDescent="0.35">
      <c r="A219" s="2"/>
      <c r="B219" s="20" t="s">
        <v>116</v>
      </c>
      <c r="C219" s="21"/>
      <c r="D219" s="21"/>
      <c r="E219" s="21"/>
      <c r="F219" s="21"/>
      <c r="G219" s="21"/>
      <c r="H219" s="21"/>
      <c r="I219" s="22"/>
    </row>
    <row r="220" spans="1:9" x14ac:dyDescent="0.35">
      <c r="A220" s="3" t="s">
        <v>110</v>
      </c>
      <c r="B220" s="3" t="s">
        <v>88</v>
      </c>
      <c r="C220" s="3" t="s">
        <v>105</v>
      </c>
      <c r="D220" s="3" t="s">
        <v>90</v>
      </c>
      <c r="E220" s="3" t="s">
        <v>105</v>
      </c>
      <c r="F220" s="3" t="s">
        <v>91</v>
      </c>
      <c r="G220" s="3" t="s">
        <v>105</v>
      </c>
      <c r="H220" s="3" t="s">
        <v>92</v>
      </c>
      <c r="I220" s="3" t="s">
        <v>105</v>
      </c>
    </row>
    <row r="221" spans="1:9" x14ac:dyDescent="0.35">
      <c r="A221" s="3">
        <v>1</v>
      </c>
      <c r="B221" s="2">
        <v>0.95289999999999997</v>
      </c>
      <c r="C221" s="2" t="s">
        <v>11</v>
      </c>
      <c r="D221" s="2">
        <v>3.7100000000000001E-2</v>
      </c>
      <c r="E221" s="2" t="s">
        <v>11</v>
      </c>
      <c r="F221" s="2">
        <v>9.4999999999999998E-3</v>
      </c>
      <c r="G221" s="2" t="s">
        <v>11</v>
      </c>
      <c r="H221" s="2">
        <v>5.0000000000000001E-4</v>
      </c>
      <c r="I221" s="2" t="s">
        <v>11</v>
      </c>
    </row>
    <row r="222" spans="1:9" x14ac:dyDescent="0.35">
      <c r="A222" s="3">
        <v>2</v>
      </c>
      <c r="B222" s="2">
        <v>0.1469</v>
      </c>
      <c r="C222" s="2" t="s">
        <v>11</v>
      </c>
      <c r="D222" s="2">
        <v>0.80220000000000002</v>
      </c>
      <c r="E222" s="2" t="s">
        <v>11</v>
      </c>
      <c r="F222" s="2">
        <v>5.0700000000000002E-2</v>
      </c>
      <c r="G222" s="2" t="s">
        <v>11</v>
      </c>
      <c r="H222" s="2">
        <v>2.0000000000000001E-4</v>
      </c>
      <c r="I222" s="2" t="s">
        <v>11</v>
      </c>
    </row>
    <row r="223" spans="1:9" x14ac:dyDescent="0.35">
      <c r="A223" s="3">
        <v>3</v>
      </c>
      <c r="B223" s="2">
        <v>3.8800000000000001E-2</v>
      </c>
      <c r="C223" s="2" t="s">
        <v>11</v>
      </c>
      <c r="D223" s="2">
        <v>5.2499999999999998E-2</v>
      </c>
      <c r="E223" s="2" t="s">
        <v>11</v>
      </c>
      <c r="F223" s="2">
        <v>0.90569999999999995</v>
      </c>
      <c r="G223" s="2" t="s">
        <v>11</v>
      </c>
      <c r="H223" s="2">
        <v>3.0000000000000001E-3</v>
      </c>
      <c r="I223" s="2" t="s">
        <v>11</v>
      </c>
    </row>
    <row r="224" spans="1:9" x14ac:dyDescent="0.35">
      <c r="A224" s="3">
        <v>4</v>
      </c>
      <c r="B224" s="2">
        <v>1.9400000000000001E-2</v>
      </c>
      <c r="C224" s="2" t="s">
        <v>11</v>
      </c>
      <c r="D224" s="2">
        <v>2E-3</v>
      </c>
      <c r="E224" s="2" t="s">
        <v>11</v>
      </c>
      <c r="F224" s="2">
        <v>2.9399999999999999E-2</v>
      </c>
      <c r="G224" s="2" t="s">
        <v>11</v>
      </c>
      <c r="H224" s="2">
        <v>0.94920000000000004</v>
      </c>
      <c r="I224" s="2" t="s">
        <v>11</v>
      </c>
    </row>
  </sheetData>
  <mergeCells count="5">
    <mergeCell ref="A3:F3"/>
    <mergeCell ref="B69:F69"/>
    <mergeCell ref="B210:I210"/>
    <mergeCell ref="A218:I218"/>
    <mergeCell ref="B219:I219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19"/>
  <sheetViews>
    <sheetView workbookViewId="0">
      <selection activeCell="B208" sqref="B208"/>
    </sheetView>
  </sheetViews>
  <sheetFormatPr defaultRowHeight="14.5" x14ac:dyDescent="0.35"/>
  <cols>
    <col min="1" max="1" width="30.453125" bestFit="1" customWidth="1"/>
    <col min="2" max="2" width="12.1796875" bestFit="1" customWidth="1"/>
    <col min="3" max="3" width="11.54296875" bestFit="1" customWidth="1"/>
    <col min="4" max="4" width="9.54296875" bestFit="1" customWidth="1"/>
    <col min="5" max="5" width="11.54296875" bestFit="1" customWidth="1"/>
    <col min="6" max="6" width="9.54296875" bestFit="1" customWidth="1"/>
    <col min="7" max="7" width="11.54296875" bestFit="1" customWidth="1"/>
    <col min="8" max="8" width="8.26953125" bestFit="1" customWidth="1"/>
    <col min="9" max="9" width="11.54296875" bestFit="1" customWidth="1"/>
    <col min="10" max="11" width="8.26953125" bestFit="1" customWidth="1"/>
    <col min="12" max="12" width="11.54296875" bestFit="1" customWidth="1"/>
    <col min="13" max="13" width="8.26953125" bestFit="1" customWidth="1"/>
    <col min="14" max="14" width="11.54296875" bestFit="1" customWidth="1"/>
    <col min="15" max="15" width="9.453125" bestFit="1" customWidth="1"/>
  </cols>
  <sheetData>
    <row r="1" spans="1:6" ht="17.5" x14ac:dyDescent="0.35">
      <c r="A1" s="1" t="s">
        <v>188</v>
      </c>
    </row>
    <row r="3" spans="1:6" x14ac:dyDescent="0.35">
      <c r="A3" s="20" t="s">
        <v>0</v>
      </c>
      <c r="B3" s="21"/>
      <c r="C3" s="21"/>
      <c r="D3" s="21"/>
      <c r="E3" s="21"/>
      <c r="F3" s="22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3824</v>
      </c>
      <c r="C5" s="2"/>
      <c r="D5" s="2"/>
      <c r="E5" s="2"/>
      <c r="F5" s="2"/>
    </row>
    <row r="6" spans="1:6" x14ac:dyDescent="0.35">
      <c r="A6" s="3" t="s">
        <v>2</v>
      </c>
      <c r="B6" s="2">
        <v>15</v>
      </c>
      <c r="C6" s="2"/>
      <c r="D6" s="2"/>
      <c r="E6" s="2"/>
      <c r="F6" s="2"/>
    </row>
    <row r="7" spans="1:6" x14ac:dyDescent="0.35">
      <c r="A7" s="3" t="s">
        <v>3</v>
      </c>
      <c r="B7" s="2">
        <v>75311758.542300001</v>
      </c>
      <c r="C7" s="2"/>
      <c r="D7" s="2"/>
      <c r="E7" s="2"/>
      <c r="F7" s="2"/>
    </row>
    <row r="8" spans="1:6" x14ac:dyDescent="0.35">
      <c r="A8" s="3" t="s">
        <v>4</v>
      </c>
      <c r="B8" s="2">
        <v>75311758.542300001</v>
      </c>
      <c r="C8" s="2"/>
      <c r="D8" s="2"/>
      <c r="E8" s="2"/>
      <c r="F8" s="2"/>
    </row>
    <row r="9" spans="1:6" x14ac:dyDescent="0.35">
      <c r="A9" s="3" t="s">
        <v>5</v>
      </c>
      <c r="B9" s="2">
        <v>317101</v>
      </c>
      <c r="C9" s="2"/>
      <c r="D9" s="2"/>
      <c r="E9" s="2"/>
      <c r="F9" s="2"/>
    </row>
    <row r="10" spans="1:6" x14ac:dyDescent="0.35">
      <c r="A10" s="3" t="s">
        <v>6</v>
      </c>
      <c r="B10" s="2">
        <v>317101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0.1656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0.1027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0.1176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0.1656</v>
      </c>
      <c r="C17" s="2"/>
      <c r="D17" s="2"/>
      <c r="E17" s="2"/>
      <c r="F17" s="2"/>
    </row>
    <row r="18" spans="1:6" x14ac:dyDescent="0.35">
      <c r="A18" s="3" t="s">
        <v>15</v>
      </c>
      <c r="B18" s="2">
        <v>0.1656</v>
      </c>
      <c r="C18" s="2"/>
      <c r="D18" s="2"/>
      <c r="E18" s="2"/>
      <c r="F18" s="2"/>
    </row>
    <row r="19" spans="1:6" x14ac:dyDescent="0.35">
      <c r="A19" s="3" t="s">
        <v>16</v>
      </c>
      <c r="B19" s="2">
        <v>0.1656</v>
      </c>
      <c r="C19" s="2"/>
      <c r="D19" s="2"/>
      <c r="E19" s="2"/>
      <c r="F19" s="2"/>
    </row>
    <row r="20" spans="1:6" x14ac:dyDescent="0.35">
      <c r="A20" s="3" t="s">
        <v>17</v>
      </c>
      <c r="B20" s="2">
        <v>0.1656</v>
      </c>
      <c r="C20" s="2"/>
      <c r="D20" s="2"/>
      <c r="E20" s="2"/>
      <c r="F20" s="2"/>
    </row>
    <row r="21" spans="1:6" x14ac:dyDescent="0.35">
      <c r="A21" s="3" t="s">
        <v>18</v>
      </c>
      <c r="B21" s="2">
        <v>0.1656</v>
      </c>
      <c r="C21" s="2"/>
      <c r="D21" s="2"/>
      <c r="E21" s="2"/>
      <c r="F21" s="2"/>
    </row>
    <row r="22" spans="1:6" x14ac:dyDescent="0.35">
      <c r="A22" s="3" t="s">
        <v>19</v>
      </c>
      <c r="B22" s="2">
        <v>0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-3460.8604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-3460.8604</v>
      </c>
      <c r="C27" s="2"/>
      <c r="D27" s="2"/>
      <c r="E27" s="2"/>
      <c r="F27" s="2"/>
    </row>
    <row r="28" spans="1:6" x14ac:dyDescent="0.35">
      <c r="A28" s="3" t="s">
        <v>24</v>
      </c>
      <c r="B28" s="2">
        <v>7045.4565000000002</v>
      </c>
      <c r="C28" s="2"/>
      <c r="D28" s="2"/>
      <c r="E28" s="2"/>
      <c r="F28" s="2"/>
    </row>
    <row r="29" spans="1:6" x14ac:dyDescent="0.35">
      <c r="A29" s="3" t="s">
        <v>25</v>
      </c>
      <c r="B29" s="2">
        <v>6951.7208000000001</v>
      </c>
      <c r="C29" s="2"/>
      <c r="D29" s="2"/>
      <c r="E29" s="2"/>
      <c r="F29" s="2"/>
    </row>
    <row r="30" spans="1:6" x14ac:dyDescent="0.35">
      <c r="A30" s="3" t="s">
        <v>26</v>
      </c>
      <c r="B30" s="2">
        <v>6966.7208000000001</v>
      </c>
      <c r="C30" s="2"/>
      <c r="D30" s="2"/>
      <c r="E30" s="2"/>
      <c r="F30" s="2"/>
    </row>
    <row r="31" spans="1:6" x14ac:dyDescent="0.35">
      <c r="A31" s="3" t="s">
        <v>27</v>
      </c>
      <c r="B31" s="2">
        <v>7060.4565000000002</v>
      </c>
      <c r="C31" s="2"/>
      <c r="D31" s="2"/>
      <c r="E31" s="2"/>
      <c r="F31" s="2"/>
    </row>
    <row r="32" spans="1:6" x14ac:dyDescent="0.35">
      <c r="A32" s="3" t="s">
        <v>28</v>
      </c>
      <c r="B32" s="2">
        <v>6997.7936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0.32829999999999998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1.84E-2</v>
      </c>
      <c r="C38" s="2"/>
      <c r="D38" s="2"/>
      <c r="E38" s="2"/>
      <c r="F38" s="2"/>
    </row>
    <row r="39" spans="1:6" x14ac:dyDescent="0.35">
      <c r="A39" s="3" t="s">
        <v>33</v>
      </c>
      <c r="B39" s="2">
        <v>1.09E-2</v>
      </c>
      <c r="C39" s="2"/>
      <c r="D39" s="2"/>
      <c r="E39" s="2"/>
      <c r="F39" s="2"/>
    </row>
    <row r="40" spans="1:6" x14ac:dyDescent="0.35">
      <c r="A40" s="3" t="s">
        <v>34</v>
      </c>
      <c r="B40" s="2">
        <v>-6911.4731000000002</v>
      </c>
      <c r="C40" s="2"/>
      <c r="D40" s="2"/>
      <c r="E40" s="2"/>
      <c r="F40" s="2"/>
    </row>
    <row r="41" spans="1:6" x14ac:dyDescent="0.35">
      <c r="A41" s="3" t="s">
        <v>35</v>
      </c>
      <c r="B41" s="2">
        <v>3450.6127000000001</v>
      </c>
      <c r="C41" s="2"/>
      <c r="D41" s="2"/>
      <c r="E41" s="2"/>
      <c r="F41" s="2"/>
    </row>
    <row r="42" spans="1:6" x14ac:dyDescent="0.35">
      <c r="A42" s="3" t="s">
        <v>36</v>
      </c>
      <c r="B42" s="2">
        <v>13822.9462</v>
      </c>
      <c r="C42" s="2"/>
      <c r="D42" s="2"/>
      <c r="E42" s="2"/>
      <c r="F42" s="2"/>
    </row>
    <row r="43" spans="1:6" x14ac:dyDescent="0.35">
      <c r="A43" s="3" t="s">
        <v>37</v>
      </c>
      <c r="B43" s="2">
        <v>14115.4177</v>
      </c>
      <c r="C43" s="2"/>
      <c r="D43" s="2"/>
      <c r="E43" s="2"/>
      <c r="F43" s="2"/>
    </row>
    <row r="44" spans="1:6" x14ac:dyDescent="0.35">
      <c r="A44" s="3" t="s">
        <v>38</v>
      </c>
      <c r="B44" s="2">
        <v>13946.6819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2568.4481999999998</v>
      </c>
      <c r="C48" s="2">
        <v>0</v>
      </c>
      <c r="D48" s="2">
        <v>0</v>
      </c>
      <c r="E48" s="2">
        <v>0</v>
      </c>
      <c r="F48" s="2">
        <v>2568.4481999999998</v>
      </c>
    </row>
    <row r="49" spans="1:6" x14ac:dyDescent="0.35">
      <c r="A49" s="3" t="s">
        <v>43</v>
      </c>
      <c r="B49" s="2">
        <v>689.22190000000001</v>
      </c>
      <c r="C49" s="2">
        <v>0</v>
      </c>
      <c r="D49" s="2">
        <v>0</v>
      </c>
      <c r="E49" s="2">
        <v>0</v>
      </c>
      <c r="F49" s="2">
        <v>689.22190000000001</v>
      </c>
    </row>
    <row r="50" spans="1:6" x14ac:dyDescent="0.35">
      <c r="A50" s="3" t="s">
        <v>44</v>
      </c>
      <c r="B50" s="2">
        <v>486.38490000000002</v>
      </c>
      <c r="C50" s="2">
        <v>0</v>
      </c>
      <c r="D50" s="2">
        <v>0</v>
      </c>
      <c r="E50" s="2">
        <v>0</v>
      </c>
      <c r="F50" s="2">
        <v>486.38490000000002</v>
      </c>
    </row>
    <row r="51" spans="1:6" x14ac:dyDescent="0.35">
      <c r="A51" s="3" t="s">
        <v>45</v>
      </c>
      <c r="B51" s="2">
        <v>79.945099999999996</v>
      </c>
      <c r="C51" s="2">
        <v>0</v>
      </c>
      <c r="D51" s="2">
        <v>0</v>
      </c>
      <c r="E51" s="2">
        <v>0</v>
      </c>
      <c r="F51" s="2">
        <v>79.945099999999996</v>
      </c>
    </row>
    <row r="52" spans="1:6" x14ac:dyDescent="0.35">
      <c r="A52" s="3" t="s">
        <v>46</v>
      </c>
      <c r="B52" s="2">
        <v>3824</v>
      </c>
      <c r="C52" s="2">
        <v>0</v>
      </c>
      <c r="D52" s="2">
        <v>0</v>
      </c>
      <c r="E52" s="2">
        <v>0</v>
      </c>
      <c r="F52" s="2">
        <v>3824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1736.7542000000001</v>
      </c>
      <c r="C56" s="2">
        <v>457.81880000000001</v>
      </c>
      <c r="D56" s="2">
        <v>322.33730000000003</v>
      </c>
      <c r="E56" s="2">
        <v>51.537999999999997</v>
      </c>
      <c r="F56" s="2">
        <v>2568.4481999999998</v>
      </c>
    </row>
    <row r="57" spans="1:6" x14ac:dyDescent="0.35">
      <c r="A57" s="3" t="s">
        <v>43</v>
      </c>
      <c r="B57" s="2">
        <v>457.81880000000001</v>
      </c>
      <c r="C57" s="2">
        <v>129.4776</v>
      </c>
      <c r="D57" s="2">
        <v>88.1875</v>
      </c>
      <c r="E57" s="2">
        <v>13.738</v>
      </c>
      <c r="F57" s="2">
        <v>689.22190000000001</v>
      </c>
    </row>
    <row r="58" spans="1:6" x14ac:dyDescent="0.35">
      <c r="A58" s="3" t="s">
        <v>44</v>
      </c>
      <c r="B58" s="2">
        <v>322.33730000000003</v>
      </c>
      <c r="C58" s="2">
        <v>88.1875</v>
      </c>
      <c r="D58" s="2">
        <v>64.376999999999995</v>
      </c>
      <c r="E58" s="2">
        <v>11.4831</v>
      </c>
      <c r="F58" s="2">
        <v>486.38490000000002</v>
      </c>
    </row>
    <row r="59" spans="1:6" x14ac:dyDescent="0.35">
      <c r="A59" s="3" t="s">
        <v>45</v>
      </c>
      <c r="B59" s="2">
        <v>51.537999999999997</v>
      </c>
      <c r="C59" s="2">
        <v>13.738</v>
      </c>
      <c r="D59" s="2">
        <v>11.4831</v>
      </c>
      <c r="E59" s="2">
        <v>3.1859999999999999</v>
      </c>
      <c r="F59" s="2">
        <v>79.945099999999996</v>
      </c>
    </row>
    <row r="60" spans="1:6" x14ac:dyDescent="0.35">
      <c r="A60" s="3" t="s">
        <v>46</v>
      </c>
      <c r="B60" s="2">
        <v>2568.4481999999998</v>
      </c>
      <c r="C60" s="2">
        <v>689.22190000000001</v>
      </c>
      <c r="D60" s="2">
        <v>486.38490000000002</v>
      </c>
      <c r="E60" s="2">
        <v>79.945099999999996</v>
      </c>
      <c r="F60" s="2">
        <v>3824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0.32829999999999998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1.84E-2</v>
      </c>
      <c r="C65" s="2"/>
      <c r="D65" s="2"/>
      <c r="E65" s="2"/>
      <c r="F65" s="2"/>
    </row>
    <row r="66" spans="1:6" x14ac:dyDescent="0.35">
      <c r="A66" s="3" t="s">
        <v>33</v>
      </c>
      <c r="B66" s="2">
        <v>1.09E-2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23" t="s">
        <v>189</v>
      </c>
      <c r="C69" s="24"/>
      <c r="D69" s="24"/>
      <c r="E69" s="24"/>
      <c r="F69" s="25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52</v>
      </c>
      <c r="B71" s="2"/>
      <c r="C71" s="2"/>
      <c r="D71" s="2"/>
      <c r="E71" s="2"/>
      <c r="F71" s="2"/>
    </row>
    <row r="72" spans="1:6" x14ac:dyDescent="0.35">
      <c r="A72" s="3" t="s">
        <v>53</v>
      </c>
      <c r="B72" s="2">
        <v>4</v>
      </c>
      <c r="C72" s="2"/>
      <c r="D72" s="2"/>
      <c r="E72" s="2"/>
      <c r="F72" s="2"/>
    </row>
    <row r="73" spans="1:6" x14ac:dyDescent="0.35">
      <c r="A73" s="3" t="s">
        <v>54</v>
      </c>
      <c r="B73" s="2"/>
      <c r="C73" s="2"/>
      <c r="D73" s="2"/>
      <c r="E73" s="2"/>
      <c r="F73" s="2"/>
    </row>
    <row r="74" spans="1:6" x14ac:dyDescent="0.35">
      <c r="A74" s="3" t="s">
        <v>55</v>
      </c>
      <c r="B74" s="4">
        <v>1E-8</v>
      </c>
      <c r="C74" s="2"/>
      <c r="D74" s="2"/>
      <c r="E74" s="2"/>
      <c r="F74" s="2"/>
    </row>
    <row r="75" spans="1:6" x14ac:dyDescent="0.35">
      <c r="A75" s="3" t="s">
        <v>56</v>
      </c>
      <c r="B75" s="2">
        <v>0.01</v>
      </c>
      <c r="C75" s="2"/>
      <c r="D75" s="2"/>
      <c r="E75" s="2"/>
      <c r="F75" s="2"/>
    </row>
    <row r="76" spans="1:6" x14ac:dyDescent="0.35">
      <c r="A76" s="3" t="s">
        <v>57</v>
      </c>
      <c r="B76" s="2">
        <v>250</v>
      </c>
      <c r="C76" s="2"/>
      <c r="D76" s="2"/>
      <c r="E76" s="2"/>
      <c r="F76" s="2"/>
    </row>
    <row r="77" spans="1:6" x14ac:dyDescent="0.35">
      <c r="A77" s="3" t="s">
        <v>58</v>
      </c>
      <c r="B77" s="2">
        <v>50</v>
      </c>
      <c r="C77" s="2"/>
      <c r="D77" s="2"/>
      <c r="E77" s="2"/>
      <c r="F77" s="2"/>
    </row>
    <row r="78" spans="1:6" x14ac:dyDescent="0.35">
      <c r="A78" s="3" t="s">
        <v>59</v>
      </c>
      <c r="B78" s="2"/>
      <c r="C78" s="2"/>
      <c r="D78" s="2"/>
      <c r="E78" s="2"/>
      <c r="F78" s="2"/>
    </row>
    <row r="79" spans="1:6" x14ac:dyDescent="0.35">
      <c r="A79" s="3" t="s">
        <v>60</v>
      </c>
      <c r="B79" s="2">
        <v>317101</v>
      </c>
      <c r="C79" s="2"/>
      <c r="D79" s="2"/>
      <c r="E79" s="2"/>
      <c r="F79" s="2"/>
    </row>
    <row r="80" spans="1:6" x14ac:dyDescent="0.35">
      <c r="A80" s="3" t="s">
        <v>61</v>
      </c>
      <c r="B80" s="2">
        <v>0</v>
      </c>
      <c r="C80" s="2"/>
      <c r="D80" s="2"/>
      <c r="E80" s="2"/>
      <c r="F80" s="2"/>
    </row>
    <row r="81" spans="1:6" x14ac:dyDescent="0.3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62</v>
      </c>
      <c r="B82" s="2">
        <v>150</v>
      </c>
      <c r="C82" s="2"/>
      <c r="D82" s="2"/>
      <c r="E82" s="2"/>
      <c r="F82" s="2"/>
    </row>
    <row r="83" spans="1:6" x14ac:dyDescent="0.35">
      <c r="A83" s="3" t="s">
        <v>63</v>
      </c>
      <c r="B83" s="2"/>
      <c r="C83" s="2"/>
      <c r="D83" s="2"/>
      <c r="E83" s="2"/>
      <c r="F83" s="2"/>
    </row>
    <row r="84" spans="1:6" x14ac:dyDescent="0.35">
      <c r="A84" s="3" t="s">
        <v>64</v>
      </c>
      <c r="B84" s="2">
        <v>1</v>
      </c>
      <c r="C84" s="2"/>
      <c r="D84" s="2"/>
      <c r="E84" s="2"/>
      <c r="F84" s="2"/>
    </row>
    <row r="85" spans="1:6" x14ac:dyDescent="0.35">
      <c r="A85" s="3" t="s">
        <v>65</v>
      </c>
      <c r="B85" s="2">
        <v>1</v>
      </c>
      <c r="C85" s="2"/>
      <c r="D85" s="2"/>
      <c r="E85" s="2"/>
      <c r="F85" s="2"/>
    </row>
    <row r="86" spans="1:6" x14ac:dyDescent="0.35">
      <c r="A86" s="3" t="s">
        <v>66</v>
      </c>
      <c r="B86" s="2">
        <v>0</v>
      </c>
      <c r="C86" s="2"/>
      <c r="D86" s="2"/>
      <c r="E86" s="2"/>
      <c r="F86" s="2"/>
    </row>
    <row r="87" spans="1:6" x14ac:dyDescent="0.35">
      <c r="A87" s="3" t="s">
        <v>67</v>
      </c>
      <c r="B87" s="2">
        <v>1</v>
      </c>
      <c r="C87" s="2"/>
      <c r="D87" s="2"/>
      <c r="E87" s="2"/>
      <c r="F87" s="2"/>
    </row>
    <row r="88" spans="1:6" x14ac:dyDescent="0.35">
      <c r="A88" s="3" t="s">
        <v>68</v>
      </c>
      <c r="B88" s="2"/>
      <c r="C88" s="2"/>
      <c r="D88" s="2"/>
      <c r="E88" s="2"/>
      <c r="F88" s="2"/>
    </row>
    <row r="89" spans="1:6" x14ac:dyDescent="0.35">
      <c r="A89" s="3" t="s">
        <v>69</v>
      </c>
      <c r="B89" s="2">
        <v>10</v>
      </c>
      <c r="C89" s="2"/>
      <c r="D89" s="2"/>
      <c r="E89" s="2"/>
      <c r="F89" s="2"/>
    </row>
    <row r="90" spans="1:6" x14ac:dyDescent="0.3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35">
      <c r="A91" s="3" t="s">
        <v>72</v>
      </c>
      <c r="B91" s="2"/>
      <c r="C91" s="2"/>
      <c r="D91" s="2"/>
      <c r="E91" s="2"/>
      <c r="F91" s="2"/>
    </row>
    <row r="92" spans="1:6" x14ac:dyDescent="0.3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3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3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35">
      <c r="A95" s="3" t="s">
        <v>79</v>
      </c>
      <c r="B95" s="2"/>
      <c r="C95" s="2"/>
      <c r="D95" s="2"/>
      <c r="E95" s="2"/>
      <c r="F95" s="2"/>
    </row>
    <row r="96" spans="1:6" x14ac:dyDescent="0.3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3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35">
      <c r="A98" s="3" t="s">
        <v>84</v>
      </c>
      <c r="B98" s="2">
        <v>3824</v>
      </c>
      <c r="C98" s="2"/>
      <c r="D98" s="2"/>
      <c r="E98" s="2"/>
      <c r="F98" s="2"/>
    </row>
    <row r="99" spans="1:6" x14ac:dyDescent="0.3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86</v>
      </c>
      <c r="B101" s="2"/>
      <c r="C101" s="2"/>
      <c r="D101" s="2"/>
      <c r="E101" s="2"/>
      <c r="F101" s="2"/>
    </row>
    <row r="102" spans="1:6" x14ac:dyDescent="0.35">
      <c r="A102" s="3" t="s">
        <v>87</v>
      </c>
      <c r="B102" s="2"/>
      <c r="C102" s="2"/>
      <c r="D102" s="2"/>
      <c r="E102" s="2"/>
      <c r="F102" s="2"/>
    </row>
    <row r="103" spans="1:6" x14ac:dyDescent="0.35">
      <c r="A103" s="3" t="s">
        <v>88</v>
      </c>
      <c r="B103" s="2"/>
      <c r="C103" s="2">
        <v>275</v>
      </c>
      <c r="D103" s="2"/>
      <c r="E103" s="2"/>
      <c r="F103" s="2"/>
    </row>
    <row r="104" spans="1:6" x14ac:dyDescent="0.35">
      <c r="A104" s="5">
        <v>2.1600000000000002E-8</v>
      </c>
      <c r="B104" s="4">
        <v>2.1598107E-8</v>
      </c>
      <c r="C104" s="2"/>
      <c r="D104" s="2"/>
      <c r="E104" s="2"/>
      <c r="F104" s="2"/>
    </row>
    <row r="105" spans="1:6" x14ac:dyDescent="0.35">
      <c r="A105" s="5">
        <v>3.0209999999999997E-8</v>
      </c>
      <c r="B105" s="4">
        <v>3.0206511E-8</v>
      </c>
      <c r="C105" s="2"/>
      <c r="D105" s="2"/>
      <c r="E105" s="2"/>
      <c r="F105" s="2"/>
    </row>
    <row r="106" spans="1:6" x14ac:dyDescent="0.35">
      <c r="A106" s="5">
        <v>4.2939999999999999E-8</v>
      </c>
      <c r="B106" s="4">
        <v>4.2935861999999997E-8</v>
      </c>
      <c r="C106" s="2"/>
      <c r="D106" s="2"/>
      <c r="E106" s="2"/>
      <c r="F106" s="2"/>
    </row>
    <row r="107" spans="1:6" x14ac:dyDescent="0.35">
      <c r="A107" s="5">
        <v>8.6379999999999997E-8</v>
      </c>
      <c r="B107" s="4">
        <v>8.6376244000000004E-8</v>
      </c>
      <c r="C107" s="2"/>
      <c r="D107" s="2"/>
      <c r="E107" s="2"/>
      <c r="F107" s="2"/>
    </row>
    <row r="108" spans="1:6" x14ac:dyDescent="0.35">
      <c r="A108" s="3" t="s">
        <v>89</v>
      </c>
      <c r="B108" s="2"/>
      <c r="C108" s="2"/>
      <c r="D108" s="2"/>
      <c r="E108" s="2"/>
      <c r="F108" s="2"/>
    </row>
    <row r="109" spans="1:6" x14ac:dyDescent="0.3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3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3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35">
      <c r="A112" s="3" t="s">
        <v>90</v>
      </c>
      <c r="B112" s="2"/>
      <c r="C112" s="2">
        <v>275</v>
      </c>
      <c r="D112" s="2"/>
      <c r="E112" s="2"/>
      <c r="F112" s="2"/>
    </row>
    <row r="113" spans="1:6" x14ac:dyDescent="0.35">
      <c r="A113" s="5">
        <v>3.9519999999999998E-14</v>
      </c>
      <c r="B113" s="4">
        <v>3.9518101E-14</v>
      </c>
      <c r="C113" s="2"/>
      <c r="D113" s="2"/>
      <c r="E113" s="2"/>
      <c r="F113" s="2"/>
    </row>
    <row r="114" spans="1:6" x14ac:dyDescent="0.35">
      <c r="A114" s="5">
        <v>1.8309999999999999E-11</v>
      </c>
      <c r="B114" s="4">
        <v>1.8309181000000002E-11</v>
      </c>
      <c r="C114" s="2"/>
      <c r="D114" s="2"/>
      <c r="E114" s="2"/>
      <c r="F114" s="2"/>
    </row>
    <row r="115" spans="1:6" x14ac:dyDescent="0.35">
      <c r="A115" s="5">
        <v>2.6130000000000001E-11</v>
      </c>
      <c r="B115" s="4">
        <v>2.6131349000000001E-11</v>
      </c>
      <c r="C115" s="2"/>
      <c r="D115" s="2"/>
      <c r="E115" s="2"/>
      <c r="F115" s="2"/>
    </row>
    <row r="116" spans="1:6" x14ac:dyDescent="0.35">
      <c r="A116" s="5">
        <v>1.1130000000000001E-10</v>
      </c>
      <c r="B116" s="4">
        <v>1.1126234000000001E-10</v>
      </c>
      <c r="C116" s="2"/>
      <c r="D116" s="2"/>
      <c r="E116" s="2"/>
      <c r="F116" s="2"/>
    </row>
    <row r="117" spans="1:6" x14ac:dyDescent="0.35">
      <c r="A117" s="3" t="s">
        <v>89</v>
      </c>
      <c r="B117" s="2"/>
      <c r="C117" s="2"/>
      <c r="D117" s="2"/>
      <c r="E117" s="2"/>
      <c r="F117" s="2"/>
    </row>
    <row r="118" spans="1:6" x14ac:dyDescent="0.3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3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35">
      <c r="A121" s="3" t="s">
        <v>91</v>
      </c>
      <c r="B121" s="2"/>
      <c r="C121" s="2">
        <v>275</v>
      </c>
      <c r="D121" s="2"/>
      <c r="E121" s="2"/>
      <c r="F121" s="2"/>
    </row>
    <row r="122" spans="1:6" x14ac:dyDescent="0.35">
      <c r="A122" s="5">
        <v>9.7710000000000007E-10</v>
      </c>
      <c r="B122" s="4">
        <v>9.7709966E-10</v>
      </c>
      <c r="C122" s="2"/>
      <c r="D122" s="2"/>
      <c r="E122" s="2"/>
      <c r="F122" s="2"/>
    </row>
    <row r="123" spans="1:6" x14ac:dyDescent="0.35">
      <c r="A123" s="5">
        <v>1.643E-9</v>
      </c>
      <c r="B123" s="4">
        <v>1.6425519000000001E-9</v>
      </c>
      <c r="C123" s="2"/>
      <c r="D123" s="2"/>
      <c r="E123" s="2"/>
      <c r="F123" s="2"/>
    </row>
    <row r="124" spans="1:6" x14ac:dyDescent="0.35">
      <c r="A124" s="5">
        <v>2.7879999999999999E-9</v>
      </c>
      <c r="B124" s="4">
        <v>2.7878482999999999E-9</v>
      </c>
      <c r="C124" s="2"/>
      <c r="D124" s="2"/>
      <c r="E124" s="2"/>
      <c r="F124" s="2"/>
    </row>
    <row r="125" spans="1:6" x14ac:dyDescent="0.35">
      <c r="A125" s="5">
        <v>3.4670000000000001E-9</v>
      </c>
      <c r="B125" s="4">
        <v>3.4665722999999999E-9</v>
      </c>
      <c r="C125" s="2"/>
      <c r="D125" s="2"/>
      <c r="E125" s="2"/>
      <c r="F125" s="2"/>
    </row>
    <row r="126" spans="1:6" x14ac:dyDescent="0.35">
      <c r="A126" s="3" t="s">
        <v>89</v>
      </c>
      <c r="B126" s="2"/>
      <c r="C126" s="2"/>
      <c r="D126" s="2"/>
      <c r="E126" s="2"/>
      <c r="F126" s="2"/>
    </row>
    <row r="127" spans="1:6" x14ac:dyDescent="0.35">
      <c r="A127" s="3">
        <v>1</v>
      </c>
      <c r="B127" s="2">
        <v>0.99995913999999997</v>
      </c>
      <c r="C127" s="2"/>
      <c r="D127" s="2"/>
      <c r="E127" s="2"/>
      <c r="F127" s="2"/>
    </row>
    <row r="128" spans="1:6" x14ac:dyDescent="0.3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3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35">
      <c r="A130" s="3" t="s">
        <v>92</v>
      </c>
      <c r="B130" s="2"/>
      <c r="C130" s="2">
        <v>275</v>
      </c>
      <c r="D130" s="2"/>
      <c r="E130" s="2"/>
      <c r="F130" s="2"/>
    </row>
    <row r="131" spans="1:6" x14ac:dyDescent="0.3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35">
      <c r="A132" s="5">
        <v>4.4209999999999998E-18</v>
      </c>
      <c r="B132" s="4">
        <v>4.4208654000000004E-18</v>
      </c>
      <c r="C132" s="2"/>
      <c r="D132" s="2"/>
      <c r="E132" s="2"/>
      <c r="F132" s="2"/>
    </row>
    <row r="133" spans="1:6" x14ac:dyDescent="0.35">
      <c r="A133" s="5">
        <v>4.9049999999999997E-18</v>
      </c>
      <c r="B133" s="4">
        <v>4.9054168000000002E-18</v>
      </c>
      <c r="C133" s="2"/>
      <c r="D133" s="2"/>
      <c r="E133" s="2"/>
      <c r="F133" s="2"/>
    </row>
    <row r="134" spans="1:6" x14ac:dyDescent="0.35">
      <c r="A134" s="5">
        <v>2.2550000000000002E-16</v>
      </c>
      <c r="B134" s="4">
        <v>2.2547683999999999E-16</v>
      </c>
      <c r="C134" s="2"/>
      <c r="D134" s="2"/>
      <c r="E134" s="2"/>
      <c r="F134" s="2"/>
    </row>
    <row r="135" spans="1:6" x14ac:dyDescent="0.35">
      <c r="A135" s="3" t="s">
        <v>89</v>
      </c>
      <c r="B135" s="2"/>
      <c r="C135" s="2"/>
      <c r="D135" s="2"/>
      <c r="E135" s="2"/>
      <c r="F135" s="2"/>
    </row>
    <row r="136" spans="1:6" x14ac:dyDescent="0.35">
      <c r="A136" s="3">
        <v>1</v>
      </c>
      <c r="B136" s="2">
        <v>0.99999797000000001</v>
      </c>
      <c r="C136" s="2"/>
      <c r="D136" s="2"/>
      <c r="E136" s="2"/>
      <c r="F136" s="2"/>
    </row>
    <row r="137" spans="1:6" x14ac:dyDescent="0.35">
      <c r="A137" s="3">
        <v>1</v>
      </c>
      <c r="B137" s="2">
        <v>0.99999879000000003</v>
      </c>
      <c r="C137" s="2"/>
      <c r="D137" s="2"/>
      <c r="E137" s="2"/>
      <c r="F137" s="2"/>
    </row>
    <row r="138" spans="1:6" x14ac:dyDescent="0.35">
      <c r="A138" s="3">
        <v>1</v>
      </c>
      <c r="B138" s="2">
        <v>0.99999943999999996</v>
      </c>
      <c r="C138" s="2"/>
      <c r="D138" s="2"/>
      <c r="E138" s="2"/>
      <c r="F138" s="2"/>
    </row>
    <row r="139" spans="1:6" x14ac:dyDescent="0.35">
      <c r="A139" s="3" t="s">
        <v>93</v>
      </c>
      <c r="B139" s="2"/>
      <c r="C139" s="2"/>
      <c r="D139" s="2"/>
      <c r="E139" s="2"/>
      <c r="F139" s="2"/>
    </row>
    <row r="140" spans="1:6" x14ac:dyDescent="0.35">
      <c r="A140" s="3" t="s">
        <v>150</v>
      </c>
      <c r="B140" s="2" t="s">
        <v>95</v>
      </c>
      <c r="C140" s="2">
        <v>5</v>
      </c>
      <c r="D140" s="2"/>
      <c r="E140" s="2"/>
      <c r="F140" s="2"/>
    </row>
    <row r="141" spans="1:6" x14ac:dyDescent="0.35">
      <c r="A141" s="3" t="s">
        <v>154</v>
      </c>
      <c r="B141" s="2" t="s">
        <v>154</v>
      </c>
      <c r="C141" s="2"/>
      <c r="D141" s="2"/>
      <c r="E141" s="2"/>
      <c r="F141" s="2"/>
    </row>
    <row r="142" spans="1:6" x14ac:dyDescent="0.35">
      <c r="A142" s="3" t="s">
        <v>159</v>
      </c>
      <c r="B142" s="2" t="s">
        <v>159</v>
      </c>
      <c r="C142" s="2"/>
      <c r="D142" s="2"/>
      <c r="E142" s="2"/>
      <c r="F142" s="2"/>
    </row>
    <row r="143" spans="1:6" x14ac:dyDescent="0.35">
      <c r="A143" s="3" t="s">
        <v>163</v>
      </c>
      <c r="B143" s="2" t="s">
        <v>163</v>
      </c>
      <c r="C143" s="2"/>
      <c r="D143" s="2"/>
      <c r="E143" s="2"/>
      <c r="F143" s="2"/>
    </row>
    <row r="144" spans="1:6" x14ac:dyDescent="0.35">
      <c r="A144" s="3" t="s">
        <v>167</v>
      </c>
      <c r="B144" s="2" t="s">
        <v>167</v>
      </c>
      <c r="C144" s="2"/>
      <c r="D144" s="2"/>
      <c r="E144" s="2"/>
      <c r="F144" s="2"/>
    </row>
    <row r="145" spans="1:16" x14ac:dyDescent="0.35">
      <c r="A145" s="3" t="s">
        <v>170</v>
      </c>
      <c r="B145" s="2" t="s">
        <v>170</v>
      </c>
      <c r="C145" s="2"/>
      <c r="D145" s="2"/>
      <c r="E145" s="2"/>
      <c r="F145" s="2"/>
    </row>
    <row r="147" spans="1:16" ht="17.5" x14ac:dyDescent="0.35">
      <c r="A147" s="1" t="s">
        <v>102</v>
      </c>
    </row>
    <row r="149" spans="1:16" x14ac:dyDescent="0.35">
      <c r="A149" s="3" t="s">
        <v>103</v>
      </c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35">
      <c r="A150" s="3" t="s">
        <v>104</v>
      </c>
      <c r="B150" s="3" t="s">
        <v>42</v>
      </c>
      <c r="C150" s="3" t="s">
        <v>105</v>
      </c>
      <c r="D150" s="3" t="s">
        <v>123</v>
      </c>
      <c r="E150" s="3" t="s">
        <v>43</v>
      </c>
      <c r="F150" s="3" t="s">
        <v>105</v>
      </c>
      <c r="G150" s="3" t="s">
        <v>123</v>
      </c>
      <c r="H150" s="3" t="s">
        <v>44</v>
      </c>
      <c r="I150" s="3" t="s">
        <v>105</v>
      </c>
      <c r="J150" s="3" t="s">
        <v>123</v>
      </c>
      <c r="K150" s="3" t="s">
        <v>45</v>
      </c>
      <c r="L150" s="3" t="s">
        <v>105</v>
      </c>
      <c r="M150" s="3" t="s">
        <v>123</v>
      </c>
      <c r="N150" s="3" t="s">
        <v>106</v>
      </c>
      <c r="O150" s="3" t="s">
        <v>9</v>
      </c>
      <c r="P150" s="2"/>
    </row>
    <row r="151" spans="1:16" x14ac:dyDescent="0.35">
      <c r="A151" s="3"/>
      <c r="B151" s="2">
        <v>11.0411</v>
      </c>
      <c r="C151" s="2">
        <v>0.41570000000000001</v>
      </c>
      <c r="D151" s="2">
        <v>26.563300000000002</v>
      </c>
      <c r="E151" s="2">
        <v>9.3816000000000006</v>
      </c>
      <c r="F151" s="2">
        <v>0.44700000000000001</v>
      </c>
      <c r="G151" s="2">
        <v>20.986499999999999</v>
      </c>
      <c r="H151" s="2">
        <v>9.26</v>
      </c>
      <c r="I151" s="2">
        <v>0.43740000000000001</v>
      </c>
      <c r="J151" s="2">
        <v>21.171900000000001</v>
      </c>
      <c r="K151" s="2">
        <v>-29.682700000000001</v>
      </c>
      <c r="L151" s="2">
        <v>1.1964999999999999</v>
      </c>
      <c r="M151" s="2">
        <v>-24.808900000000001</v>
      </c>
      <c r="N151" s="2">
        <v>707.74580000000003</v>
      </c>
      <c r="O151" s="4">
        <v>4.4E-153</v>
      </c>
      <c r="P151" s="2"/>
    </row>
    <row r="152" spans="1:16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35">
      <c r="A153" s="3" t="s">
        <v>107</v>
      </c>
      <c r="B153" s="3" t="s">
        <v>42</v>
      </c>
      <c r="C153" s="3" t="s">
        <v>105</v>
      </c>
      <c r="D153" s="3" t="s">
        <v>123</v>
      </c>
      <c r="E153" s="3" t="s">
        <v>43</v>
      </c>
      <c r="F153" s="3" t="s">
        <v>105</v>
      </c>
      <c r="G153" s="3" t="s">
        <v>123</v>
      </c>
      <c r="H153" s="3" t="s">
        <v>44</v>
      </c>
      <c r="I153" s="3" t="s">
        <v>105</v>
      </c>
      <c r="J153" s="3" t="s">
        <v>123</v>
      </c>
      <c r="K153" s="3" t="s">
        <v>45</v>
      </c>
      <c r="L153" s="3" t="s">
        <v>105</v>
      </c>
      <c r="M153" s="3" t="s">
        <v>123</v>
      </c>
      <c r="N153" s="3" t="s">
        <v>106</v>
      </c>
      <c r="O153" s="3" t="s">
        <v>9</v>
      </c>
      <c r="P153" s="2"/>
    </row>
    <row r="154" spans="1:16" x14ac:dyDescent="0.35">
      <c r="A154" s="3" t="s">
        <v>150</v>
      </c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ht="28" x14ac:dyDescent="0.35">
      <c r="A155" s="3" t="s">
        <v>154</v>
      </c>
      <c r="B155" s="2">
        <v>-9.4467999999999996</v>
      </c>
      <c r="C155" s="2">
        <v>0.43590000000000001</v>
      </c>
      <c r="D155" s="2">
        <v>-21.672999999999998</v>
      </c>
      <c r="E155" s="2">
        <v>-8.9724000000000004</v>
      </c>
      <c r="F155" s="2">
        <v>0.4703</v>
      </c>
      <c r="G155" s="2">
        <v>-19.077000000000002</v>
      </c>
      <c r="H155" s="2">
        <v>-9.3030000000000008</v>
      </c>
      <c r="I155" s="2">
        <v>0.47839999999999999</v>
      </c>
      <c r="J155" s="2">
        <v>-19.444299999999998</v>
      </c>
      <c r="K155" s="2">
        <v>27.722200000000001</v>
      </c>
      <c r="L155" s="2">
        <v>1.2535000000000001</v>
      </c>
      <c r="M155" s="2">
        <v>22.1157</v>
      </c>
      <c r="N155" s="2">
        <v>2812367.7593</v>
      </c>
      <c r="O155" s="4" t="s">
        <v>190</v>
      </c>
      <c r="P155" s="2"/>
    </row>
    <row r="156" spans="1:16" x14ac:dyDescent="0.35">
      <c r="A156" s="3" t="s">
        <v>159</v>
      </c>
      <c r="B156" s="2">
        <v>-9.8002000000000002</v>
      </c>
      <c r="C156" s="2">
        <v>0.48509999999999998</v>
      </c>
      <c r="D156" s="2">
        <v>-20.202400000000001</v>
      </c>
      <c r="E156" s="2">
        <v>-9.8655000000000008</v>
      </c>
      <c r="F156" s="2">
        <v>0.67830000000000001</v>
      </c>
      <c r="G156" s="2">
        <v>-14.545299999999999</v>
      </c>
      <c r="H156" s="2">
        <v>-9.2684999999999995</v>
      </c>
      <c r="I156" s="2">
        <v>26077413.715599999</v>
      </c>
      <c r="J156" s="2">
        <v>0</v>
      </c>
      <c r="K156" s="2">
        <v>28.9343</v>
      </c>
      <c r="L156" s="2">
        <v>26077412.943700001</v>
      </c>
      <c r="M156" s="2">
        <v>0</v>
      </c>
      <c r="N156" s="2"/>
      <c r="O156" s="2"/>
      <c r="P156" s="2"/>
    </row>
    <row r="157" spans="1:16" x14ac:dyDescent="0.35">
      <c r="A157" s="3" t="s">
        <v>163</v>
      </c>
      <c r="B157" s="2">
        <v>-1.0755999999999999</v>
      </c>
      <c r="C157" s="2">
        <v>0.71179999999999999</v>
      </c>
      <c r="D157" s="2">
        <v>-1.5111000000000001</v>
      </c>
      <c r="E157" s="2">
        <v>-0.93</v>
      </c>
      <c r="F157" s="2">
        <v>0.8175</v>
      </c>
      <c r="G157" s="2">
        <v>-1.1376999999999999</v>
      </c>
      <c r="H157" s="2">
        <v>-0.65059999999999996</v>
      </c>
      <c r="I157" s="2">
        <v>18874799.072299998</v>
      </c>
      <c r="J157" s="2">
        <v>0</v>
      </c>
      <c r="K157" s="2">
        <v>2.6562000000000001</v>
      </c>
      <c r="L157" s="2">
        <v>18874797.7075</v>
      </c>
      <c r="M157" s="2">
        <v>0</v>
      </c>
      <c r="N157" s="2"/>
      <c r="O157" s="2"/>
      <c r="P157" s="2"/>
    </row>
    <row r="158" spans="1:16" x14ac:dyDescent="0.35">
      <c r="A158" s="3" t="s">
        <v>167</v>
      </c>
      <c r="B158" s="2">
        <v>19.587800000000001</v>
      </c>
      <c r="C158" s="2">
        <v>0.49590000000000001</v>
      </c>
      <c r="D158" s="2">
        <v>39.502499999999998</v>
      </c>
      <c r="E158" s="2">
        <v>19.046399999999998</v>
      </c>
      <c r="F158" s="2">
        <v>0.77629999999999999</v>
      </c>
      <c r="G158" s="2">
        <v>24.535499999999999</v>
      </c>
      <c r="H158" s="2">
        <v>18.8171</v>
      </c>
      <c r="I158" s="2">
        <v>9663681.3222000003</v>
      </c>
      <c r="J158" s="2">
        <v>0</v>
      </c>
      <c r="K158" s="2">
        <v>-57.4514</v>
      </c>
      <c r="L158" s="2">
        <v>9663680.4330000002</v>
      </c>
      <c r="M158" s="2">
        <v>0</v>
      </c>
      <c r="N158" s="2"/>
      <c r="O158" s="2"/>
      <c r="P158" s="2"/>
    </row>
    <row r="159" spans="1:16" x14ac:dyDescent="0.35">
      <c r="A159" s="3" t="s">
        <v>170</v>
      </c>
      <c r="B159" s="2">
        <v>0.73480000000000001</v>
      </c>
      <c r="C159" s="2">
        <v>0.70979999999999999</v>
      </c>
      <c r="D159" s="2">
        <v>1.0351999999999999</v>
      </c>
      <c r="E159" s="2">
        <v>0.72150000000000003</v>
      </c>
      <c r="F159" s="2">
        <v>0.94740000000000002</v>
      </c>
      <c r="G159" s="2">
        <v>0.76149999999999995</v>
      </c>
      <c r="H159" s="2">
        <v>0.40500000000000003</v>
      </c>
      <c r="I159" s="2">
        <v>35101195.927100003</v>
      </c>
      <c r="J159" s="2">
        <v>0</v>
      </c>
      <c r="K159" s="2">
        <v>-1.8613</v>
      </c>
      <c r="L159" s="2">
        <v>35101194.697700001</v>
      </c>
      <c r="M159" s="2">
        <v>0</v>
      </c>
      <c r="N159" s="2"/>
      <c r="O159" s="2"/>
      <c r="P159" s="2"/>
    </row>
    <row r="160" spans="1:16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2" spans="1:6" ht="17.5" x14ac:dyDescent="0.35">
      <c r="A162" s="1" t="s">
        <v>108</v>
      </c>
    </row>
    <row r="164" spans="1:6" x14ac:dyDescent="0.35">
      <c r="A164" s="3" t="s">
        <v>103</v>
      </c>
      <c r="B164" s="3"/>
      <c r="C164" s="3"/>
      <c r="D164" s="3" t="s">
        <v>106</v>
      </c>
      <c r="E164" s="3" t="s">
        <v>109</v>
      </c>
      <c r="F164" s="3" t="s">
        <v>9</v>
      </c>
    </row>
    <row r="165" spans="1:6" x14ac:dyDescent="0.35">
      <c r="A165" s="3" t="s">
        <v>104</v>
      </c>
      <c r="B165" s="2"/>
      <c r="C165" s="2"/>
      <c r="D165" s="2"/>
      <c r="E165" s="2"/>
      <c r="F165" s="2"/>
    </row>
    <row r="166" spans="1:6" x14ac:dyDescent="0.35">
      <c r="A166" s="3" t="s">
        <v>110</v>
      </c>
      <c r="B166" s="3">
        <v>1</v>
      </c>
      <c r="C166" s="3">
        <v>2</v>
      </c>
      <c r="D166" s="2">
        <v>37.745800000000003</v>
      </c>
      <c r="E166" s="2">
        <v>1</v>
      </c>
      <c r="F166" s="4">
        <v>8.0999999999999999E-10</v>
      </c>
    </row>
    <row r="167" spans="1:6" x14ac:dyDescent="0.35">
      <c r="A167" s="3" t="s">
        <v>110</v>
      </c>
      <c r="B167" s="3">
        <v>1</v>
      </c>
      <c r="C167" s="3">
        <v>3</v>
      </c>
      <c r="D167" s="2">
        <v>49.455100000000002</v>
      </c>
      <c r="E167" s="2">
        <v>1</v>
      </c>
      <c r="F167" s="4">
        <v>2E-12</v>
      </c>
    </row>
    <row r="168" spans="1:6" x14ac:dyDescent="0.35">
      <c r="A168" s="3" t="s">
        <v>110</v>
      </c>
      <c r="B168" s="3">
        <v>1</v>
      </c>
      <c r="C168" s="3">
        <v>4</v>
      </c>
      <c r="D168" s="2">
        <v>650.52850000000001</v>
      </c>
      <c r="E168" s="2">
        <v>1</v>
      </c>
      <c r="F168" s="4">
        <v>1.6999999999999999E-143</v>
      </c>
    </row>
    <row r="169" spans="1:6" x14ac:dyDescent="0.35">
      <c r="A169" s="3" t="s">
        <v>110</v>
      </c>
      <c r="B169" s="3">
        <v>2</v>
      </c>
      <c r="C169" s="3">
        <v>3</v>
      </c>
      <c r="D169" s="2">
        <v>0.1201</v>
      </c>
      <c r="E169" s="2">
        <v>1</v>
      </c>
      <c r="F169" s="2">
        <v>0.73</v>
      </c>
    </row>
    <row r="170" spans="1:6" x14ac:dyDescent="0.35">
      <c r="A170" s="3" t="s">
        <v>110</v>
      </c>
      <c r="B170" s="3">
        <v>2</v>
      </c>
      <c r="C170" s="3">
        <v>4</v>
      </c>
      <c r="D170" s="2">
        <v>587.22469999999998</v>
      </c>
      <c r="E170" s="2">
        <v>1</v>
      </c>
      <c r="F170" s="4">
        <v>9.9999999999999993E-130</v>
      </c>
    </row>
    <row r="171" spans="1:6" x14ac:dyDescent="0.35">
      <c r="A171" s="3" t="s">
        <v>110</v>
      </c>
      <c r="B171" s="3">
        <v>3</v>
      </c>
      <c r="C171" s="3">
        <v>4</v>
      </c>
      <c r="D171" s="2">
        <v>589.32309999999995</v>
      </c>
      <c r="E171" s="2">
        <v>1</v>
      </c>
      <c r="F171" s="4">
        <v>3.4999999999999999E-130</v>
      </c>
    </row>
    <row r="172" spans="1:6" x14ac:dyDescent="0.35">
      <c r="A172" s="3" t="s">
        <v>150</v>
      </c>
      <c r="B172" s="2"/>
      <c r="C172" s="2"/>
      <c r="D172" s="2"/>
      <c r="E172" s="2"/>
      <c r="F172" s="2"/>
    </row>
    <row r="173" spans="1:6" x14ac:dyDescent="0.35">
      <c r="A173" s="3" t="s">
        <v>110</v>
      </c>
      <c r="B173" s="3">
        <v>1</v>
      </c>
      <c r="C173" s="3">
        <v>2</v>
      </c>
      <c r="D173" s="2">
        <v>2.8368000000000002</v>
      </c>
      <c r="E173" s="2">
        <v>4</v>
      </c>
      <c r="F173" s="2">
        <v>0.59</v>
      </c>
    </row>
    <row r="174" spans="1:6" x14ac:dyDescent="0.35">
      <c r="A174" s="3" t="s">
        <v>110</v>
      </c>
      <c r="B174" s="3">
        <v>1</v>
      </c>
      <c r="C174" s="3">
        <v>3</v>
      </c>
      <c r="D174" s="2">
        <v>0.3266</v>
      </c>
      <c r="E174" s="2">
        <v>4</v>
      </c>
      <c r="F174" s="2">
        <v>0.99</v>
      </c>
    </row>
    <row r="175" spans="1:6" x14ac:dyDescent="0.35">
      <c r="A175" s="3" t="s">
        <v>110</v>
      </c>
      <c r="B175" s="3">
        <v>1</v>
      </c>
      <c r="C175" s="3">
        <v>4</v>
      </c>
      <c r="D175" s="2">
        <v>2488.9236999999998</v>
      </c>
      <c r="E175" s="2">
        <v>4</v>
      </c>
      <c r="F175" s="4" t="s">
        <v>191</v>
      </c>
    </row>
    <row r="176" spans="1:6" x14ac:dyDescent="0.35">
      <c r="A176" s="3" t="s">
        <v>110</v>
      </c>
      <c r="B176" s="3">
        <v>2</v>
      </c>
      <c r="C176" s="3">
        <v>3</v>
      </c>
      <c r="D176" s="2">
        <v>0.82420000000000004</v>
      </c>
      <c r="E176" s="2">
        <v>4</v>
      </c>
      <c r="F176" s="2">
        <v>0.94</v>
      </c>
    </row>
    <row r="177" spans="1:9" x14ac:dyDescent="0.35">
      <c r="A177" s="3" t="s">
        <v>110</v>
      </c>
      <c r="B177" s="3">
        <v>2</v>
      </c>
      <c r="C177" s="3">
        <v>4</v>
      </c>
      <c r="D177" s="2">
        <v>2111.7163</v>
      </c>
      <c r="E177" s="2">
        <v>4</v>
      </c>
      <c r="F177" s="4" t="s">
        <v>192</v>
      </c>
    </row>
    <row r="178" spans="1:9" x14ac:dyDescent="0.35">
      <c r="A178" s="3" t="s">
        <v>110</v>
      </c>
      <c r="B178" s="3">
        <v>3</v>
      </c>
      <c r="C178" s="3">
        <v>4</v>
      </c>
      <c r="D178" s="2">
        <v>2394.1279</v>
      </c>
      <c r="E178" s="2">
        <v>4</v>
      </c>
      <c r="F178" s="4" t="s">
        <v>193</v>
      </c>
    </row>
    <row r="180" spans="1:9" ht="17.5" x14ac:dyDescent="0.35">
      <c r="A180" s="1" t="s">
        <v>111</v>
      </c>
    </row>
    <row r="182" spans="1:9" x14ac:dyDescent="0.35">
      <c r="A182" s="2"/>
      <c r="B182" s="3" t="s">
        <v>42</v>
      </c>
      <c r="C182" s="3" t="s">
        <v>105</v>
      </c>
      <c r="D182" s="3" t="s">
        <v>43</v>
      </c>
      <c r="E182" s="3" t="s">
        <v>105</v>
      </c>
      <c r="F182" s="3" t="s">
        <v>44</v>
      </c>
      <c r="G182" s="3" t="s">
        <v>105</v>
      </c>
      <c r="H182" s="3" t="s">
        <v>45</v>
      </c>
      <c r="I182" s="3" t="s">
        <v>105</v>
      </c>
    </row>
    <row r="183" spans="1:9" x14ac:dyDescent="0.35">
      <c r="A183" s="3" t="s">
        <v>112</v>
      </c>
      <c r="B183" s="2">
        <v>0.67169999999999996</v>
      </c>
      <c r="C183" s="2">
        <v>87672.179000000004</v>
      </c>
      <c r="D183" s="2">
        <v>0.1802</v>
      </c>
      <c r="E183" s="2">
        <v>17337.7176</v>
      </c>
      <c r="F183" s="2">
        <v>0.12720000000000001</v>
      </c>
      <c r="G183" s="2">
        <v>271969.60600000003</v>
      </c>
      <c r="H183" s="2">
        <v>2.0899999999999998E-2</v>
      </c>
      <c r="I183" s="2">
        <v>189049.70430000001</v>
      </c>
    </row>
    <row r="184" spans="1:9" x14ac:dyDescent="0.35">
      <c r="A184" s="3" t="s">
        <v>107</v>
      </c>
      <c r="B184" s="2"/>
      <c r="C184" s="2"/>
      <c r="D184" s="2"/>
      <c r="E184" s="2"/>
      <c r="F184" s="2"/>
      <c r="G184" s="2"/>
      <c r="H184" s="2"/>
      <c r="I184" s="2"/>
    </row>
    <row r="185" spans="1:9" x14ac:dyDescent="0.35">
      <c r="A185" s="3" t="s">
        <v>150</v>
      </c>
      <c r="B185" s="2"/>
      <c r="C185" s="2"/>
      <c r="D185" s="2"/>
      <c r="E185" s="2"/>
      <c r="F185" s="2"/>
      <c r="G185" s="2"/>
      <c r="H185" s="2"/>
      <c r="I185" s="2"/>
    </row>
    <row r="186" spans="1:9" x14ac:dyDescent="0.35">
      <c r="A186" s="3" t="s">
        <v>154</v>
      </c>
      <c r="B186" s="2">
        <v>0.74350000000000005</v>
      </c>
      <c r="C186" s="2" t="s">
        <v>11</v>
      </c>
      <c r="D186" s="2">
        <v>0.84709999999999996</v>
      </c>
      <c r="E186" s="2" t="s">
        <v>11</v>
      </c>
      <c r="F186" s="2">
        <v>0.76370000000000005</v>
      </c>
      <c r="G186" s="2" t="s">
        <v>11</v>
      </c>
      <c r="H186" s="2">
        <v>0.68289999999999995</v>
      </c>
      <c r="I186" s="2" t="s">
        <v>11</v>
      </c>
    </row>
    <row r="187" spans="1:9" x14ac:dyDescent="0.35">
      <c r="A187" s="3" t="s">
        <v>159</v>
      </c>
      <c r="B187" s="2">
        <v>7.2099999999999997E-2</v>
      </c>
      <c r="C187" s="2" t="s">
        <v>11</v>
      </c>
      <c r="D187" s="2">
        <v>4.7899999999999998E-2</v>
      </c>
      <c r="E187" s="2" t="s">
        <v>11</v>
      </c>
      <c r="F187" s="2">
        <v>0.10920000000000001</v>
      </c>
      <c r="G187" s="2" t="s">
        <v>11</v>
      </c>
      <c r="H187" s="2">
        <v>0.31709999999999999</v>
      </c>
      <c r="I187" s="2" t="s">
        <v>11</v>
      </c>
    </row>
    <row r="188" spans="1:9" x14ac:dyDescent="0.35">
      <c r="A188" s="3" t="s">
        <v>163</v>
      </c>
      <c r="B188" s="2">
        <v>4.5100000000000001E-2</v>
      </c>
      <c r="C188" s="2" t="s">
        <v>11</v>
      </c>
      <c r="D188" s="2">
        <v>3.6999999999999998E-2</v>
      </c>
      <c r="E188" s="2" t="s">
        <v>11</v>
      </c>
      <c r="F188" s="2">
        <v>6.1400000000000003E-2</v>
      </c>
      <c r="G188" s="2" t="s">
        <v>11</v>
      </c>
      <c r="H188" s="2">
        <v>0</v>
      </c>
      <c r="I188" s="2" t="s">
        <v>11</v>
      </c>
    </row>
    <row r="189" spans="1:9" x14ac:dyDescent="0.35">
      <c r="A189" s="3" t="s">
        <v>167</v>
      </c>
      <c r="B189" s="2">
        <v>0.1023</v>
      </c>
      <c r="C189" s="2" t="s">
        <v>11</v>
      </c>
      <c r="D189" s="2">
        <v>4.2200000000000001E-2</v>
      </c>
      <c r="E189" s="2" t="s">
        <v>11</v>
      </c>
      <c r="F189" s="2">
        <v>4.2099999999999999E-2</v>
      </c>
      <c r="G189" s="2" t="s">
        <v>11</v>
      </c>
      <c r="H189" s="2">
        <v>0</v>
      </c>
      <c r="I189" s="2" t="s">
        <v>11</v>
      </c>
    </row>
    <row r="190" spans="1:9" x14ac:dyDescent="0.35">
      <c r="A190" s="3" t="s">
        <v>170</v>
      </c>
      <c r="B190" s="2">
        <v>3.6900000000000002E-2</v>
      </c>
      <c r="C190" s="2" t="s">
        <v>11</v>
      </c>
      <c r="D190" s="2">
        <v>2.58E-2</v>
      </c>
      <c r="E190" s="2" t="s">
        <v>11</v>
      </c>
      <c r="F190" s="2">
        <v>2.3599999999999999E-2</v>
      </c>
      <c r="G190" s="2" t="s">
        <v>11</v>
      </c>
      <c r="H190" s="2">
        <v>0</v>
      </c>
      <c r="I190" s="2" t="s">
        <v>11</v>
      </c>
    </row>
    <row r="192" spans="1:9" ht="17.5" x14ac:dyDescent="0.35">
      <c r="A192" s="1" t="s">
        <v>113</v>
      </c>
    </row>
    <row r="194" spans="1:9" x14ac:dyDescent="0.35">
      <c r="A194" s="2"/>
      <c r="B194" s="3" t="s">
        <v>42</v>
      </c>
      <c r="C194" s="3" t="s">
        <v>43</v>
      </c>
      <c r="D194" s="3" t="s">
        <v>44</v>
      </c>
      <c r="E194" s="3" t="s">
        <v>45</v>
      </c>
    </row>
    <row r="195" spans="1:9" x14ac:dyDescent="0.35">
      <c r="A195" s="3" t="s">
        <v>114</v>
      </c>
      <c r="B195" s="2">
        <v>0.67169999999999996</v>
      </c>
      <c r="C195" s="2">
        <v>0.1802</v>
      </c>
      <c r="D195" s="2">
        <v>0.12720000000000001</v>
      </c>
      <c r="E195" s="2">
        <v>2.0899999999999998E-2</v>
      </c>
    </row>
    <row r="196" spans="1:9" x14ac:dyDescent="0.35">
      <c r="A196" s="3" t="s">
        <v>107</v>
      </c>
      <c r="B196" s="2"/>
      <c r="C196" s="2"/>
      <c r="D196" s="2"/>
      <c r="E196" s="2"/>
    </row>
    <row r="197" spans="1:9" x14ac:dyDescent="0.35">
      <c r="A197" s="3" t="s">
        <v>150</v>
      </c>
      <c r="B197" s="2"/>
      <c r="C197" s="2"/>
      <c r="D197" s="2"/>
      <c r="E197" s="2"/>
    </row>
    <row r="198" spans="1:9" x14ac:dyDescent="0.35">
      <c r="A198" s="3" t="s">
        <v>154</v>
      </c>
      <c r="B198" s="2">
        <v>0.65410000000000001</v>
      </c>
      <c r="C198" s="2">
        <v>0.2</v>
      </c>
      <c r="D198" s="2">
        <v>0.12720000000000001</v>
      </c>
      <c r="E198" s="2">
        <v>1.8700000000000001E-2</v>
      </c>
    </row>
    <row r="199" spans="1:9" x14ac:dyDescent="0.35">
      <c r="A199" s="3" t="s">
        <v>159</v>
      </c>
      <c r="B199" s="2">
        <v>0.62429999999999997</v>
      </c>
      <c r="C199" s="2">
        <v>0.1113</v>
      </c>
      <c r="D199" s="2">
        <v>0.17899999999999999</v>
      </c>
      <c r="E199" s="2">
        <v>8.5400000000000004E-2</v>
      </c>
    </row>
    <row r="200" spans="1:9" x14ac:dyDescent="0.35">
      <c r="A200" s="3" t="s">
        <v>163</v>
      </c>
      <c r="B200" s="2">
        <v>0.67669999999999997</v>
      </c>
      <c r="C200" s="2">
        <v>0.1489</v>
      </c>
      <c r="D200" s="2">
        <v>0.1744</v>
      </c>
      <c r="E200" s="2">
        <v>0</v>
      </c>
    </row>
    <row r="201" spans="1:9" x14ac:dyDescent="0.35">
      <c r="A201" s="3" t="s">
        <v>167</v>
      </c>
      <c r="B201" s="2">
        <v>0.84130000000000005</v>
      </c>
      <c r="C201" s="2">
        <v>9.3100000000000002E-2</v>
      </c>
      <c r="D201" s="2">
        <v>6.5600000000000006E-2</v>
      </c>
      <c r="E201" s="2">
        <v>0</v>
      </c>
    </row>
    <row r="202" spans="1:9" x14ac:dyDescent="0.35">
      <c r="A202" s="3" t="s">
        <v>170</v>
      </c>
      <c r="B202" s="2">
        <v>0.76400000000000001</v>
      </c>
      <c r="C202" s="2">
        <v>0.1434</v>
      </c>
      <c r="D202" s="2">
        <v>9.2499999999999999E-2</v>
      </c>
      <c r="E202" s="2">
        <v>0</v>
      </c>
    </row>
    <row r="204" spans="1:9" ht="17.5" x14ac:dyDescent="0.35">
      <c r="A204" s="1" t="s">
        <v>115</v>
      </c>
    </row>
    <row r="206" spans="1:9" x14ac:dyDescent="0.35">
      <c r="A206" s="2"/>
      <c r="B206" s="20" t="s">
        <v>110</v>
      </c>
      <c r="C206" s="21"/>
      <c r="D206" s="21"/>
      <c r="E206" s="21"/>
      <c r="F206" s="21"/>
      <c r="G206" s="21"/>
      <c r="H206" s="21"/>
      <c r="I206" s="22"/>
    </row>
    <row r="207" spans="1:9" x14ac:dyDescent="0.35">
      <c r="A207" s="3" t="s">
        <v>150</v>
      </c>
      <c r="B207" s="3">
        <v>1</v>
      </c>
      <c r="C207" s="3" t="s">
        <v>105</v>
      </c>
      <c r="D207" s="3">
        <v>2</v>
      </c>
      <c r="E207" s="3" t="s">
        <v>105</v>
      </c>
      <c r="F207" s="3">
        <v>3</v>
      </c>
      <c r="G207" s="3" t="s">
        <v>105</v>
      </c>
      <c r="H207" s="3">
        <v>4</v>
      </c>
      <c r="I207" s="3" t="s">
        <v>105</v>
      </c>
    </row>
    <row r="208" spans="1:9" x14ac:dyDescent="0.35">
      <c r="A208" s="3" t="s">
        <v>154</v>
      </c>
      <c r="B208" s="2">
        <v>0.65410000000000001</v>
      </c>
      <c r="C208" s="2">
        <v>3.4799999999999998E-2</v>
      </c>
      <c r="D208" s="2">
        <v>0.2</v>
      </c>
      <c r="E208" s="2">
        <v>3.0300000000000001E-2</v>
      </c>
      <c r="F208" s="2">
        <v>0.12720000000000001</v>
      </c>
      <c r="G208" s="2">
        <v>2.3E-2</v>
      </c>
      <c r="H208" s="2">
        <v>1.8700000000000001E-2</v>
      </c>
      <c r="I208" s="2">
        <v>8.9999999999999993E-3</v>
      </c>
    </row>
    <row r="209" spans="1:9" x14ac:dyDescent="0.35">
      <c r="A209" s="3" t="s">
        <v>159</v>
      </c>
      <c r="B209" s="2">
        <v>0.62429999999999997</v>
      </c>
      <c r="C209" s="2">
        <v>1523507.6037999999</v>
      </c>
      <c r="D209" s="2">
        <v>0.1113</v>
      </c>
      <c r="E209" s="2">
        <v>271513.6654</v>
      </c>
      <c r="F209" s="2">
        <v>0.17899999999999999</v>
      </c>
      <c r="G209" s="2">
        <v>4230660.4031999996</v>
      </c>
      <c r="H209" s="2">
        <v>8.5400000000000004E-2</v>
      </c>
      <c r="I209" s="2">
        <v>2435639.1340999999</v>
      </c>
    </row>
    <row r="210" spans="1:9" x14ac:dyDescent="0.35">
      <c r="A210" s="3" t="s">
        <v>163</v>
      </c>
      <c r="B210" s="2">
        <v>0.67669999999999997</v>
      </c>
      <c r="C210" s="2">
        <v>2227228.9188999999</v>
      </c>
      <c r="D210" s="2">
        <v>0.1489</v>
      </c>
      <c r="E210" s="2">
        <v>490077.39069999999</v>
      </c>
      <c r="F210" s="2">
        <v>0.1744</v>
      </c>
      <c r="G210" s="2">
        <v>2717306.3095999998</v>
      </c>
      <c r="H210" s="2">
        <v>0</v>
      </c>
      <c r="I210" s="2">
        <v>0</v>
      </c>
    </row>
    <row r="211" spans="1:9" x14ac:dyDescent="0.35">
      <c r="A211" s="3" t="s">
        <v>167</v>
      </c>
      <c r="B211" s="2">
        <v>0.84130000000000005</v>
      </c>
      <c r="C211" s="2">
        <v>533089.19449999998</v>
      </c>
      <c r="D211" s="2">
        <v>9.3100000000000002E-2</v>
      </c>
      <c r="E211" s="2">
        <v>59013.661</v>
      </c>
      <c r="F211" s="2">
        <v>6.5600000000000006E-2</v>
      </c>
      <c r="G211" s="2">
        <v>592102.85549999995</v>
      </c>
      <c r="H211" s="2">
        <v>0</v>
      </c>
      <c r="I211" s="2">
        <v>0</v>
      </c>
    </row>
    <row r="212" spans="1:9" x14ac:dyDescent="0.35">
      <c r="A212" s="3" t="s">
        <v>170</v>
      </c>
      <c r="B212" s="2">
        <v>0.76400000000000001</v>
      </c>
      <c r="C212" s="2">
        <v>2481974.7037999998</v>
      </c>
      <c r="D212" s="2">
        <v>0.1434</v>
      </c>
      <c r="E212" s="2">
        <v>465879.16279999999</v>
      </c>
      <c r="F212" s="2">
        <v>9.2499999999999999E-2</v>
      </c>
      <c r="G212" s="2">
        <v>2947853.8667000001</v>
      </c>
      <c r="H212" s="2">
        <v>0</v>
      </c>
      <c r="I212" s="2">
        <v>0</v>
      </c>
    </row>
    <row r="213" spans="1:9" x14ac:dyDescent="0.35">
      <c r="A213" s="23"/>
      <c r="B213" s="24"/>
      <c r="C213" s="24"/>
      <c r="D213" s="24"/>
      <c r="E213" s="24"/>
      <c r="F213" s="24"/>
      <c r="G213" s="24"/>
      <c r="H213" s="24"/>
      <c r="I213" s="25"/>
    </row>
    <row r="214" spans="1:9" x14ac:dyDescent="0.35">
      <c r="A214" s="2"/>
      <c r="B214" s="20" t="s">
        <v>116</v>
      </c>
      <c r="C214" s="21"/>
      <c r="D214" s="21"/>
      <c r="E214" s="21"/>
      <c r="F214" s="21"/>
      <c r="G214" s="21"/>
      <c r="H214" s="21"/>
      <c r="I214" s="22"/>
    </row>
    <row r="215" spans="1:9" x14ac:dyDescent="0.35">
      <c r="A215" s="3" t="s">
        <v>110</v>
      </c>
      <c r="B215" s="3" t="s">
        <v>88</v>
      </c>
      <c r="C215" s="3" t="s">
        <v>105</v>
      </c>
      <c r="D215" s="3" t="s">
        <v>90</v>
      </c>
      <c r="E215" s="3" t="s">
        <v>105</v>
      </c>
      <c r="F215" s="3" t="s">
        <v>91</v>
      </c>
      <c r="G215" s="3" t="s">
        <v>105</v>
      </c>
      <c r="H215" s="3" t="s">
        <v>92</v>
      </c>
      <c r="I215" s="3" t="s">
        <v>105</v>
      </c>
    </row>
    <row r="216" spans="1:9" x14ac:dyDescent="0.35">
      <c r="A216" s="3">
        <v>1</v>
      </c>
      <c r="B216" s="2">
        <v>0.95309999999999995</v>
      </c>
      <c r="C216" s="2" t="s">
        <v>11</v>
      </c>
      <c r="D216" s="2">
        <v>4.1099999999999998E-2</v>
      </c>
      <c r="E216" s="2" t="s">
        <v>11</v>
      </c>
      <c r="F216" s="2">
        <v>5.7000000000000002E-3</v>
      </c>
      <c r="G216" s="2" t="s">
        <v>11</v>
      </c>
      <c r="H216" s="2">
        <v>1E-4</v>
      </c>
      <c r="I216" s="2" t="s">
        <v>11</v>
      </c>
    </row>
    <row r="217" spans="1:9" x14ac:dyDescent="0.35">
      <c r="A217" s="3">
        <v>2</v>
      </c>
      <c r="B217" s="2">
        <v>0.15310000000000001</v>
      </c>
      <c r="C217" s="2" t="s">
        <v>11</v>
      </c>
      <c r="D217" s="2">
        <v>0.82299999999999995</v>
      </c>
      <c r="E217" s="2" t="s">
        <v>11</v>
      </c>
      <c r="F217" s="2">
        <v>2.3800000000000002E-2</v>
      </c>
      <c r="G217" s="2" t="s">
        <v>11</v>
      </c>
      <c r="H217" s="2">
        <v>0</v>
      </c>
      <c r="I217" s="2" t="s">
        <v>11</v>
      </c>
    </row>
    <row r="218" spans="1:9" x14ac:dyDescent="0.35">
      <c r="A218" s="3">
        <v>3</v>
      </c>
      <c r="B218" s="2">
        <v>3.0200000000000001E-2</v>
      </c>
      <c r="C218" s="2" t="s">
        <v>11</v>
      </c>
      <c r="D218" s="2">
        <v>3.3700000000000001E-2</v>
      </c>
      <c r="E218" s="2" t="s">
        <v>11</v>
      </c>
      <c r="F218" s="2">
        <v>0.93410000000000004</v>
      </c>
      <c r="G218" s="2" t="s">
        <v>11</v>
      </c>
      <c r="H218" s="2">
        <v>2E-3</v>
      </c>
      <c r="I218" s="2" t="s">
        <v>11</v>
      </c>
    </row>
    <row r="219" spans="1:9" x14ac:dyDescent="0.35">
      <c r="A219" s="3">
        <v>4</v>
      </c>
      <c r="B219" s="2">
        <v>4.3E-3</v>
      </c>
      <c r="C219" s="2" t="s">
        <v>11</v>
      </c>
      <c r="D219" s="2">
        <v>2.9999999999999997E-4</v>
      </c>
      <c r="E219" s="2" t="s">
        <v>11</v>
      </c>
      <c r="F219" s="2">
        <v>1.1900000000000001E-2</v>
      </c>
      <c r="G219" s="2" t="s">
        <v>11</v>
      </c>
      <c r="H219" s="2">
        <v>0.98350000000000004</v>
      </c>
      <c r="I219" s="2" t="s">
        <v>11</v>
      </c>
    </row>
  </sheetData>
  <mergeCells count="5">
    <mergeCell ref="A3:F3"/>
    <mergeCell ref="B69:F69"/>
    <mergeCell ref="B206:I206"/>
    <mergeCell ref="A213:I213"/>
    <mergeCell ref="B214:I21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09"/>
  <sheetViews>
    <sheetView topLeftCell="A184" workbookViewId="0">
      <selection activeCell="B200" sqref="B200"/>
    </sheetView>
  </sheetViews>
  <sheetFormatPr defaultRowHeight="14.5" x14ac:dyDescent="0.35"/>
  <cols>
    <col min="1" max="1" width="30.453125" bestFit="1" customWidth="1"/>
    <col min="2" max="2" width="12.1796875" bestFit="1" customWidth="1"/>
    <col min="3" max="4" width="8.54296875" bestFit="1" customWidth="1"/>
    <col min="5" max="5" width="8.26953125" bestFit="1" customWidth="1"/>
    <col min="6" max="6" width="8.54296875" bestFit="1" customWidth="1"/>
    <col min="7" max="7" width="7.26953125" bestFit="1" customWidth="1"/>
    <col min="8" max="8" width="8.26953125" bestFit="1" customWidth="1"/>
    <col min="9" max="9" width="6.54296875" bestFit="1" customWidth="1"/>
    <col min="10" max="10" width="7.26953125" bestFit="1" customWidth="1"/>
    <col min="11" max="11" width="8.26953125" bestFit="1" customWidth="1"/>
    <col min="12" max="12" width="6.54296875" bestFit="1" customWidth="1"/>
    <col min="13" max="13" width="7.26953125" bestFit="1" customWidth="1"/>
    <col min="14" max="14" width="7.54296875" bestFit="1" customWidth="1"/>
    <col min="15" max="15" width="8.453125" bestFit="1" customWidth="1"/>
  </cols>
  <sheetData>
    <row r="1" spans="1:6" ht="17.5" x14ac:dyDescent="0.35">
      <c r="A1" s="1" t="s">
        <v>194</v>
      </c>
    </row>
    <row r="3" spans="1:6" x14ac:dyDescent="0.35">
      <c r="A3" s="20" t="s">
        <v>0</v>
      </c>
      <c r="B3" s="21"/>
      <c r="C3" s="21"/>
      <c r="D3" s="21"/>
      <c r="E3" s="21"/>
      <c r="F3" s="22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1392</v>
      </c>
      <c r="C5" s="2"/>
      <c r="D5" s="2"/>
      <c r="E5" s="2"/>
      <c r="F5" s="2"/>
    </row>
    <row r="6" spans="1:6" x14ac:dyDescent="0.35">
      <c r="A6" s="3" t="s">
        <v>2</v>
      </c>
      <c r="B6" s="2">
        <v>9</v>
      </c>
      <c r="C6" s="2"/>
      <c r="D6" s="2"/>
      <c r="E6" s="2"/>
      <c r="F6" s="2"/>
    </row>
    <row r="7" spans="1:6" x14ac:dyDescent="0.35">
      <c r="A7" s="3" t="s">
        <v>3</v>
      </c>
      <c r="B7" s="2">
        <v>10.912100000000001</v>
      </c>
      <c r="C7" s="2"/>
      <c r="D7" s="2"/>
      <c r="E7" s="2"/>
      <c r="F7" s="2"/>
    </row>
    <row r="8" spans="1:6" x14ac:dyDescent="0.35">
      <c r="A8" s="3" t="s">
        <v>4</v>
      </c>
      <c r="B8" s="2">
        <v>10.912100000000001</v>
      </c>
      <c r="C8" s="2"/>
      <c r="D8" s="2"/>
      <c r="E8" s="2"/>
      <c r="F8" s="2"/>
    </row>
    <row r="9" spans="1:6" x14ac:dyDescent="0.35">
      <c r="A9" s="3" t="s">
        <v>5</v>
      </c>
      <c r="B9" s="2">
        <v>279331</v>
      </c>
      <c r="C9" s="2"/>
      <c r="D9" s="2"/>
      <c r="E9" s="2"/>
      <c r="F9" s="2"/>
    </row>
    <row r="10" spans="1:6" x14ac:dyDescent="0.35">
      <c r="A10" s="3" t="s">
        <v>6</v>
      </c>
      <c r="B10" s="2">
        <v>279331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0</v>
      </c>
      <c r="C17" s="2"/>
      <c r="D17" s="2"/>
      <c r="E17" s="2"/>
      <c r="F17" s="2"/>
    </row>
    <row r="18" spans="1:6" x14ac:dyDescent="0.35">
      <c r="A18" s="3" t="s">
        <v>15</v>
      </c>
      <c r="B18" s="2">
        <v>0</v>
      </c>
      <c r="C18" s="2"/>
      <c r="D18" s="2"/>
      <c r="E18" s="2"/>
      <c r="F18" s="2"/>
    </row>
    <row r="19" spans="1:6" x14ac:dyDescent="0.35">
      <c r="A19" s="3" t="s">
        <v>16</v>
      </c>
      <c r="B19" s="2">
        <v>0</v>
      </c>
      <c r="C19" s="2"/>
      <c r="D19" s="2"/>
      <c r="E19" s="2"/>
      <c r="F19" s="2"/>
    </row>
    <row r="20" spans="1:6" x14ac:dyDescent="0.35">
      <c r="A20" s="3" t="s">
        <v>17</v>
      </c>
      <c r="B20" s="2">
        <v>0</v>
      </c>
      <c r="C20" s="2"/>
      <c r="D20" s="2"/>
      <c r="E20" s="2"/>
      <c r="F20" s="2"/>
    </row>
    <row r="21" spans="1:6" x14ac:dyDescent="0.35">
      <c r="A21" s="3" t="s">
        <v>18</v>
      </c>
      <c r="B21" s="2">
        <v>0</v>
      </c>
      <c r="C21" s="2"/>
      <c r="D21" s="2"/>
      <c r="E21" s="2"/>
      <c r="F21" s="2"/>
    </row>
    <row r="22" spans="1:6" x14ac:dyDescent="0.35">
      <c r="A22" s="3" t="s">
        <v>19</v>
      </c>
      <c r="B22" s="2">
        <v>0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-1456.1909000000001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-1456.1909000000001</v>
      </c>
      <c r="C27" s="2"/>
      <c r="D27" s="2"/>
      <c r="E27" s="2"/>
      <c r="F27" s="2"/>
    </row>
    <row r="28" spans="1:6" x14ac:dyDescent="0.35">
      <c r="A28" s="3" t="s">
        <v>24</v>
      </c>
      <c r="B28" s="2">
        <v>2977.5282000000002</v>
      </c>
      <c r="C28" s="2"/>
      <c r="D28" s="2"/>
      <c r="E28" s="2"/>
      <c r="F28" s="2"/>
    </row>
    <row r="29" spans="1:6" x14ac:dyDescent="0.35">
      <c r="A29" s="3" t="s">
        <v>25</v>
      </c>
      <c r="B29" s="2">
        <v>2930.3816999999999</v>
      </c>
      <c r="C29" s="2"/>
      <c r="D29" s="2"/>
      <c r="E29" s="2"/>
      <c r="F29" s="2"/>
    </row>
    <row r="30" spans="1:6" x14ac:dyDescent="0.35">
      <c r="A30" s="3" t="s">
        <v>26</v>
      </c>
      <c r="B30" s="2">
        <v>2939.3816999999999</v>
      </c>
      <c r="C30" s="2"/>
      <c r="D30" s="2"/>
      <c r="E30" s="2"/>
      <c r="F30" s="2"/>
    </row>
    <row r="31" spans="1:6" x14ac:dyDescent="0.35">
      <c r="A31" s="3" t="s">
        <v>27</v>
      </c>
      <c r="B31" s="2">
        <v>2986.5282000000002</v>
      </c>
      <c r="C31" s="2"/>
      <c r="D31" s="2"/>
      <c r="E31" s="2"/>
      <c r="F31" s="2"/>
    </row>
    <row r="32" spans="1:6" x14ac:dyDescent="0.35">
      <c r="A32" s="3" t="s">
        <v>28</v>
      </c>
      <c r="B32" s="2">
        <v>2948.9387000000002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0.4622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4.2500000000000003E-2</v>
      </c>
      <c r="C38" s="2"/>
      <c r="D38" s="2"/>
      <c r="E38" s="2"/>
      <c r="F38" s="2"/>
    </row>
    <row r="39" spans="1:6" x14ac:dyDescent="0.35">
      <c r="A39" s="3" t="s">
        <v>33</v>
      </c>
      <c r="B39" s="2">
        <v>3.5999999999999997E-2</v>
      </c>
      <c r="C39" s="2"/>
      <c r="D39" s="2"/>
      <c r="E39" s="2"/>
      <c r="F39" s="2"/>
    </row>
    <row r="40" spans="1:6" x14ac:dyDescent="0.35">
      <c r="A40" s="3" t="s">
        <v>34</v>
      </c>
      <c r="B40" s="2">
        <v>-2889.1930000000002</v>
      </c>
      <c r="C40" s="2"/>
      <c r="D40" s="2"/>
      <c r="E40" s="2"/>
      <c r="F40" s="2"/>
    </row>
    <row r="41" spans="1:6" x14ac:dyDescent="0.35">
      <c r="A41" s="3" t="s">
        <v>35</v>
      </c>
      <c r="B41" s="2">
        <v>1433.0020999999999</v>
      </c>
      <c r="C41" s="2"/>
      <c r="D41" s="2"/>
      <c r="E41" s="2"/>
      <c r="F41" s="2"/>
    </row>
    <row r="42" spans="1:6" x14ac:dyDescent="0.35">
      <c r="A42" s="3" t="s">
        <v>36</v>
      </c>
      <c r="B42" s="2">
        <v>5778.3859000000002</v>
      </c>
      <c r="C42" s="2"/>
      <c r="D42" s="2"/>
      <c r="E42" s="2"/>
      <c r="F42" s="2"/>
    </row>
    <row r="43" spans="1:6" x14ac:dyDescent="0.35">
      <c r="A43" s="3" t="s">
        <v>37</v>
      </c>
      <c r="B43" s="2">
        <v>5935.6788999999999</v>
      </c>
      <c r="C43" s="2"/>
      <c r="D43" s="2"/>
      <c r="E43" s="2"/>
      <c r="F43" s="2"/>
    </row>
    <row r="44" spans="1:6" x14ac:dyDescent="0.35">
      <c r="A44" s="3" t="s">
        <v>38</v>
      </c>
      <c r="B44" s="2">
        <v>5843.5324000000001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748.55859999999996</v>
      </c>
      <c r="C48" s="2">
        <v>0</v>
      </c>
      <c r="D48" s="2">
        <v>0</v>
      </c>
      <c r="E48" s="2">
        <v>0</v>
      </c>
      <c r="F48" s="2">
        <v>748.55859999999996</v>
      </c>
    </row>
    <row r="49" spans="1:6" x14ac:dyDescent="0.35">
      <c r="A49" s="3" t="s">
        <v>43</v>
      </c>
      <c r="B49" s="2">
        <v>311.65249999999997</v>
      </c>
      <c r="C49" s="2">
        <v>0</v>
      </c>
      <c r="D49" s="2">
        <v>0</v>
      </c>
      <c r="E49" s="2">
        <v>0</v>
      </c>
      <c r="F49" s="2">
        <v>311.65249999999997</v>
      </c>
    </row>
    <row r="50" spans="1:6" x14ac:dyDescent="0.35">
      <c r="A50" s="3" t="s">
        <v>44</v>
      </c>
      <c r="B50" s="2">
        <v>306.24810000000002</v>
      </c>
      <c r="C50" s="2">
        <v>0</v>
      </c>
      <c r="D50" s="2">
        <v>0</v>
      </c>
      <c r="E50" s="2">
        <v>0</v>
      </c>
      <c r="F50" s="2">
        <v>306.24810000000002</v>
      </c>
    </row>
    <row r="51" spans="1:6" x14ac:dyDescent="0.35">
      <c r="A51" s="3" t="s">
        <v>45</v>
      </c>
      <c r="B51" s="2">
        <v>25.540800000000001</v>
      </c>
      <c r="C51" s="2">
        <v>0</v>
      </c>
      <c r="D51" s="2">
        <v>0</v>
      </c>
      <c r="E51" s="2">
        <v>0</v>
      </c>
      <c r="F51" s="2">
        <v>25.540800000000001</v>
      </c>
    </row>
    <row r="52" spans="1:6" x14ac:dyDescent="0.35">
      <c r="A52" s="3" t="s">
        <v>46</v>
      </c>
      <c r="B52" s="2">
        <v>1392</v>
      </c>
      <c r="C52" s="2">
        <v>0</v>
      </c>
      <c r="D52" s="2">
        <v>0</v>
      </c>
      <c r="E52" s="2">
        <v>0</v>
      </c>
      <c r="F52" s="2">
        <v>1392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407.7251</v>
      </c>
      <c r="C56" s="2">
        <v>170.94139999999999</v>
      </c>
      <c r="D56" s="2">
        <v>156.57550000000001</v>
      </c>
      <c r="E56" s="2">
        <v>13.316599999999999</v>
      </c>
      <c r="F56" s="2">
        <v>748.55859999999996</v>
      </c>
    </row>
    <row r="57" spans="1:6" x14ac:dyDescent="0.35">
      <c r="A57" s="3" t="s">
        <v>43</v>
      </c>
      <c r="B57" s="2">
        <v>170.94139999999999</v>
      </c>
      <c r="C57" s="2">
        <v>77.356800000000007</v>
      </c>
      <c r="D57" s="2">
        <v>58.030700000000003</v>
      </c>
      <c r="E57" s="2">
        <v>5.3236999999999997</v>
      </c>
      <c r="F57" s="2">
        <v>311.65249999999997</v>
      </c>
    </row>
    <row r="58" spans="1:6" x14ac:dyDescent="0.35">
      <c r="A58" s="3" t="s">
        <v>44</v>
      </c>
      <c r="B58" s="2">
        <v>156.57550000000001</v>
      </c>
      <c r="C58" s="2">
        <v>58.030700000000003</v>
      </c>
      <c r="D58" s="2">
        <v>85.246600000000001</v>
      </c>
      <c r="E58" s="2">
        <v>6.3952999999999998</v>
      </c>
      <c r="F58" s="2">
        <v>306.24810000000002</v>
      </c>
    </row>
    <row r="59" spans="1:6" x14ac:dyDescent="0.35">
      <c r="A59" s="3" t="s">
        <v>45</v>
      </c>
      <c r="B59" s="2">
        <v>13.316599999999999</v>
      </c>
      <c r="C59" s="2">
        <v>5.3236999999999997</v>
      </c>
      <c r="D59" s="2">
        <v>6.3952999999999998</v>
      </c>
      <c r="E59" s="2">
        <v>0.50519999999999998</v>
      </c>
      <c r="F59" s="2">
        <v>25.540800000000001</v>
      </c>
    </row>
    <row r="60" spans="1:6" x14ac:dyDescent="0.35">
      <c r="A60" s="3" t="s">
        <v>46</v>
      </c>
      <c r="B60" s="2">
        <v>748.55859999999996</v>
      </c>
      <c r="C60" s="2">
        <v>311.65249999999997</v>
      </c>
      <c r="D60" s="2">
        <v>306.24810000000002</v>
      </c>
      <c r="E60" s="2">
        <v>25.540800000000001</v>
      </c>
      <c r="F60" s="2">
        <v>1392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0.4622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4.2500000000000003E-2</v>
      </c>
      <c r="C65" s="2"/>
      <c r="D65" s="2"/>
      <c r="E65" s="2"/>
      <c r="F65" s="2"/>
    </row>
    <row r="66" spans="1:6" x14ac:dyDescent="0.35">
      <c r="A66" s="3" t="s">
        <v>33</v>
      </c>
      <c r="B66" s="2">
        <v>3.5999999999999997E-2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23" t="s">
        <v>195</v>
      </c>
      <c r="C69" s="24"/>
      <c r="D69" s="24"/>
      <c r="E69" s="24"/>
      <c r="F69" s="25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52</v>
      </c>
      <c r="B71" s="2"/>
      <c r="C71" s="2"/>
      <c r="D71" s="2"/>
      <c r="E71" s="2"/>
      <c r="F71" s="2"/>
    </row>
    <row r="72" spans="1:6" x14ac:dyDescent="0.35">
      <c r="A72" s="3" t="s">
        <v>53</v>
      </c>
      <c r="B72" s="2">
        <v>4</v>
      </c>
      <c r="C72" s="2"/>
      <c r="D72" s="2"/>
      <c r="E72" s="2"/>
      <c r="F72" s="2"/>
    </row>
    <row r="73" spans="1:6" x14ac:dyDescent="0.35">
      <c r="A73" s="3" t="s">
        <v>54</v>
      </c>
      <c r="B73" s="2"/>
      <c r="C73" s="2"/>
      <c r="D73" s="2"/>
      <c r="E73" s="2"/>
      <c r="F73" s="2"/>
    </row>
    <row r="74" spans="1:6" x14ac:dyDescent="0.35">
      <c r="A74" s="3" t="s">
        <v>55</v>
      </c>
      <c r="B74" s="4">
        <v>1E-8</v>
      </c>
      <c r="C74" s="2"/>
      <c r="D74" s="2"/>
      <c r="E74" s="2"/>
      <c r="F74" s="2"/>
    </row>
    <row r="75" spans="1:6" x14ac:dyDescent="0.35">
      <c r="A75" s="3" t="s">
        <v>56</v>
      </c>
      <c r="B75" s="2">
        <v>0.01</v>
      </c>
      <c r="C75" s="2"/>
      <c r="D75" s="2"/>
      <c r="E75" s="2"/>
      <c r="F75" s="2"/>
    </row>
    <row r="76" spans="1:6" x14ac:dyDescent="0.35">
      <c r="A76" s="3" t="s">
        <v>57</v>
      </c>
      <c r="B76" s="2">
        <v>250</v>
      </c>
      <c r="C76" s="2"/>
      <c r="D76" s="2"/>
      <c r="E76" s="2"/>
      <c r="F76" s="2"/>
    </row>
    <row r="77" spans="1:6" x14ac:dyDescent="0.35">
      <c r="A77" s="3" t="s">
        <v>58</v>
      </c>
      <c r="B77" s="2">
        <v>50</v>
      </c>
      <c r="C77" s="2"/>
      <c r="D77" s="2"/>
      <c r="E77" s="2"/>
      <c r="F77" s="2"/>
    </row>
    <row r="78" spans="1:6" x14ac:dyDescent="0.35">
      <c r="A78" s="3" t="s">
        <v>59</v>
      </c>
      <c r="B78" s="2"/>
      <c r="C78" s="2"/>
      <c r="D78" s="2"/>
      <c r="E78" s="2"/>
      <c r="F78" s="2"/>
    </row>
    <row r="79" spans="1:6" x14ac:dyDescent="0.35">
      <c r="A79" s="3" t="s">
        <v>60</v>
      </c>
      <c r="B79" s="2">
        <v>279331</v>
      </c>
      <c r="C79" s="2"/>
      <c r="D79" s="2"/>
      <c r="E79" s="2"/>
      <c r="F79" s="2"/>
    </row>
    <row r="80" spans="1:6" x14ac:dyDescent="0.35">
      <c r="A80" s="3" t="s">
        <v>61</v>
      </c>
      <c r="B80" s="2">
        <v>0</v>
      </c>
      <c r="C80" s="2"/>
      <c r="D80" s="2"/>
      <c r="E80" s="2"/>
      <c r="F80" s="2"/>
    </row>
    <row r="81" spans="1:6" x14ac:dyDescent="0.3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62</v>
      </c>
      <c r="B82" s="2">
        <v>150</v>
      </c>
      <c r="C82" s="2"/>
      <c r="D82" s="2"/>
      <c r="E82" s="2"/>
      <c r="F82" s="2"/>
    </row>
    <row r="83" spans="1:6" x14ac:dyDescent="0.35">
      <c r="A83" s="3" t="s">
        <v>63</v>
      </c>
      <c r="B83" s="2"/>
      <c r="C83" s="2"/>
      <c r="D83" s="2"/>
      <c r="E83" s="2"/>
      <c r="F83" s="2"/>
    </row>
    <row r="84" spans="1:6" x14ac:dyDescent="0.35">
      <c r="A84" s="3" t="s">
        <v>64</v>
      </c>
      <c r="B84" s="2">
        <v>1</v>
      </c>
      <c r="C84" s="2"/>
      <c r="D84" s="2"/>
      <c r="E84" s="2"/>
      <c r="F84" s="2"/>
    </row>
    <row r="85" spans="1:6" x14ac:dyDescent="0.35">
      <c r="A85" s="3" t="s">
        <v>65</v>
      </c>
      <c r="B85" s="2">
        <v>1</v>
      </c>
      <c r="C85" s="2"/>
      <c r="D85" s="2"/>
      <c r="E85" s="2"/>
      <c r="F85" s="2"/>
    </row>
    <row r="86" spans="1:6" x14ac:dyDescent="0.35">
      <c r="A86" s="3" t="s">
        <v>66</v>
      </c>
      <c r="B86" s="2">
        <v>0</v>
      </c>
      <c r="C86" s="2"/>
      <c r="D86" s="2"/>
      <c r="E86" s="2"/>
      <c r="F86" s="2"/>
    </row>
    <row r="87" spans="1:6" x14ac:dyDescent="0.35">
      <c r="A87" s="3" t="s">
        <v>67</v>
      </c>
      <c r="B87" s="2">
        <v>1</v>
      </c>
      <c r="C87" s="2"/>
      <c r="D87" s="2"/>
      <c r="E87" s="2"/>
      <c r="F87" s="2"/>
    </row>
    <row r="88" spans="1:6" x14ac:dyDescent="0.35">
      <c r="A88" s="3" t="s">
        <v>68</v>
      </c>
      <c r="B88" s="2"/>
      <c r="C88" s="2"/>
      <c r="D88" s="2"/>
      <c r="E88" s="2"/>
      <c r="F88" s="2"/>
    </row>
    <row r="89" spans="1:6" x14ac:dyDescent="0.35">
      <c r="A89" s="3" t="s">
        <v>69</v>
      </c>
      <c r="B89" s="2">
        <v>10</v>
      </c>
      <c r="C89" s="2"/>
      <c r="D89" s="2"/>
      <c r="E89" s="2"/>
      <c r="F89" s="2"/>
    </row>
    <row r="90" spans="1:6" x14ac:dyDescent="0.3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35">
      <c r="A91" s="3" t="s">
        <v>72</v>
      </c>
      <c r="B91" s="2"/>
      <c r="C91" s="2"/>
      <c r="D91" s="2"/>
      <c r="E91" s="2"/>
      <c r="F91" s="2"/>
    </row>
    <row r="92" spans="1:6" x14ac:dyDescent="0.3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3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3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35">
      <c r="A95" s="3" t="s">
        <v>79</v>
      </c>
      <c r="B95" s="2"/>
      <c r="C95" s="2"/>
      <c r="D95" s="2"/>
      <c r="E95" s="2"/>
      <c r="F95" s="2"/>
    </row>
    <row r="96" spans="1:6" x14ac:dyDescent="0.3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3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35">
      <c r="A98" s="3" t="s">
        <v>84</v>
      </c>
      <c r="B98" s="2">
        <v>1392</v>
      </c>
      <c r="C98" s="2"/>
      <c r="D98" s="2"/>
      <c r="E98" s="2"/>
      <c r="F98" s="2"/>
    </row>
    <row r="99" spans="1:6" x14ac:dyDescent="0.3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86</v>
      </c>
      <c r="B101" s="2"/>
      <c r="C101" s="2"/>
      <c r="D101" s="2"/>
      <c r="E101" s="2"/>
      <c r="F101" s="2"/>
    </row>
    <row r="102" spans="1:6" x14ac:dyDescent="0.35">
      <c r="A102" s="3" t="s">
        <v>87</v>
      </c>
      <c r="B102" s="2"/>
      <c r="C102" s="2"/>
      <c r="D102" s="2"/>
      <c r="E102" s="2"/>
      <c r="F102" s="2"/>
    </row>
    <row r="103" spans="1:6" x14ac:dyDescent="0.35">
      <c r="A103" s="3" t="s">
        <v>88</v>
      </c>
      <c r="B103" s="2"/>
      <c r="C103" s="2">
        <v>180</v>
      </c>
      <c r="D103" s="2"/>
      <c r="E103" s="2"/>
      <c r="F103" s="2"/>
    </row>
    <row r="104" spans="1:6" x14ac:dyDescent="0.35">
      <c r="A104" s="5">
        <v>4.157E-7</v>
      </c>
      <c r="B104" s="4">
        <v>4.1565450999999999E-7</v>
      </c>
      <c r="C104" s="2"/>
      <c r="D104" s="2"/>
      <c r="E104" s="2"/>
      <c r="F104" s="2"/>
    </row>
    <row r="105" spans="1:6" x14ac:dyDescent="0.35">
      <c r="A105" s="5">
        <v>1.158E-6</v>
      </c>
      <c r="B105" s="4">
        <v>1.1576750000000001E-6</v>
      </c>
      <c r="C105" s="2"/>
      <c r="D105" s="2"/>
      <c r="E105" s="2"/>
      <c r="F105" s="2"/>
    </row>
    <row r="106" spans="1:6" x14ac:dyDescent="0.35">
      <c r="A106" s="5">
        <v>1.5710000000000001E-6</v>
      </c>
      <c r="B106" s="4">
        <v>1.5712826000000001E-6</v>
      </c>
      <c r="C106" s="2"/>
      <c r="D106" s="2"/>
      <c r="E106" s="2"/>
      <c r="F106" s="2"/>
    </row>
    <row r="107" spans="1:6" x14ac:dyDescent="0.35">
      <c r="A107" s="5">
        <v>1.6020000000000001E-6</v>
      </c>
      <c r="B107" s="4">
        <v>1.6022844000000001E-6</v>
      </c>
      <c r="C107" s="2"/>
      <c r="D107" s="2"/>
      <c r="E107" s="2"/>
      <c r="F107" s="2"/>
    </row>
    <row r="108" spans="1:6" x14ac:dyDescent="0.35">
      <c r="A108" s="3" t="s">
        <v>89</v>
      </c>
      <c r="B108" s="2"/>
      <c r="C108" s="2"/>
      <c r="D108" s="2"/>
      <c r="E108" s="2"/>
      <c r="F108" s="2"/>
    </row>
    <row r="109" spans="1:6" x14ac:dyDescent="0.35">
      <c r="A109" s="3">
        <v>0.999</v>
      </c>
      <c r="B109" s="2">
        <v>0.99897815999999995</v>
      </c>
      <c r="C109" s="2"/>
      <c r="D109" s="2"/>
      <c r="E109" s="2"/>
      <c r="F109" s="2"/>
    </row>
    <row r="110" spans="1:6" x14ac:dyDescent="0.35">
      <c r="A110" s="3">
        <v>0.99970000000000003</v>
      </c>
      <c r="B110" s="2">
        <v>0.99966297999999998</v>
      </c>
      <c r="C110" s="2"/>
      <c r="D110" s="2"/>
      <c r="E110" s="2"/>
      <c r="F110" s="2"/>
    </row>
    <row r="111" spans="1:6" x14ac:dyDescent="0.35">
      <c r="A111" s="3">
        <v>0.99970000000000003</v>
      </c>
      <c r="B111" s="2">
        <v>0.99974249999999998</v>
      </c>
      <c r="C111" s="2"/>
      <c r="D111" s="2"/>
      <c r="E111" s="2"/>
      <c r="F111" s="2"/>
    </row>
    <row r="112" spans="1:6" x14ac:dyDescent="0.35">
      <c r="A112" s="3" t="s">
        <v>90</v>
      </c>
      <c r="B112" s="2"/>
      <c r="C112" s="2">
        <v>180</v>
      </c>
      <c r="D112" s="2"/>
      <c r="E112" s="2"/>
      <c r="F112" s="2"/>
    </row>
    <row r="113" spans="1:6" x14ac:dyDescent="0.35">
      <c r="A113" s="5">
        <v>4.7929999999999999E-10</v>
      </c>
      <c r="B113" s="4">
        <v>4.7928401E-10</v>
      </c>
      <c r="C113" s="2"/>
      <c r="D113" s="2"/>
      <c r="E113" s="2"/>
      <c r="F113" s="2"/>
    </row>
    <row r="114" spans="1:6" x14ac:dyDescent="0.35">
      <c r="A114" s="5">
        <v>5.9880000000000004E-10</v>
      </c>
      <c r="B114" s="4">
        <v>5.9876383999999995E-10</v>
      </c>
      <c r="C114" s="2"/>
      <c r="D114" s="2"/>
      <c r="E114" s="2"/>
      <c r="F114" s="2"/>
    </row>
    <row r="115" spans="1:6" x14ac:dyDescent="0.35">
      <c r="A115" s="5">
        <v>5.655E-9</v>
      </c>
      <c r="B115" s="4">
        <v>5.6550986E-9</v>
      </c>
      <c r="C115" s="2"/>
      <c r="D115" s="2"/>
      <c r="E115" s="2"/>
      <c r="F115" s="2"/>
    </row>
    <row r="116" spans="1:6" x14ac:dyDescent="0.35">
      <c r="A116" s="5">
        <v>2.6980000000000001E-8</v>
      </c>
      <c r="B116" s="4">
        <v>2.6977233999999999E-8</v>
      </c>
      <c r="C116" s="2"/>
      <c r="D116" s="2"/>
      <c r="E116" s="2"/>
      <c r="F116" s="2"/>
    </row>
    <row r="117" spans="1:6" x14ac:dyDescent="0.35">
      <c r="A117" s="3" t="s">
        <v>89</v>
      </c>
      <c r="B117" s="2"/>
      <c r="C117" s="2"/>
      <c r="D117" s="2"/>
      <c r="E117" s="2"/>
      <c r="F117" s="2"/>
    </row>
    <row r="118" spans="1:6" x14ac:dyDescent="0.35">
      <c r="A118" s="3">
        <v>1</v>
      </c>
      <c r="B118" s="2">
        <v>0.99999488999999997</v>
      </c>
      <c r="C118" s="2"/>
      <c r="D118" s="2"/>
      <c r="E118" s="2"/>
      <c r="F118" s="2"/>
    </row>
    <row r="119" spans="1:6" x14ac:dyDescent="0.35">
      <c r="A119" s="3">
        <v>1</v>
      </c>
      <c r="B119" s="2">
        <v>0.99999786999999996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0.99999875999999999</v>
      </c>
      <c r="C120" s="2"/>
      <c r="D120" s="2"/>
      <c r="E120" s="2"/>
      <c r="F120" s="2"/>
    </row>
    <row r="121" spans="1:6" x14ac:dyDescent="0.35">
      <c r="A121" s="3" t="s">
        <v>91</v>
      </c>
      <c r="B121" s="2"/>
      <c r="C121" s="2">
        <v>180</v>
      </c>
      <c r="D121" s="2"/>
      <c r="E121" s="2"/>
      <c r="F121" s="2"/>
    </row>
    <row r="122" spans="1:6" x14ac:dyDescent="0.3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35">
      <c r="A123" s="5">
        <v>9.6690000000000001E-12</v>
      </c>
      <c r="B123" s="4">
        <v>9.6686613000000001E-12</v>
      </c>
      <c r="C123" s="2"/>
      <c r="D123" s="2"/>
      <c r="E123" s="2"/>
      <c r="F123" s="2"/>
    </row>
    <row r="124" spans="1:6" x14ac:dyDescent="0.35">
      <c r="A124" s="5">
        <v>5.8610000000000003E-9</v>
      </c>
      <c r="B124" s="4">
        <v>5.8605541999999997E-9</v>
      </c>
      <c r="C124" s="2"/>
      <c r="D124" s="2"/>
      <c r="E124" s="2"/>
      <c r="F124" s="2"/>
    </row>
    <row r="125" spans="1:6" x14ac:dyDescent="0.35">
      <c r="A125" s="5">
        <v>8.6999999999999998E-8</v>
      </c>
      <c r="B125" s="4">
        <v>8.7004789000000006E-8</v>
      </c>
      <c r="C125" s="2"/>
      <c r="D125" s="2"/>
      <c r="E125" s="2"/>
      <c r="F125" s="2"/>
    </row>
    <row r="126" spans="1:6" x14ac:dyDescent="0.35">
      <c r="A126" s="3" t="s">
        <v>89</v>
      </c>
      <c r="B126" s="2"/>
      <c r="C126" s="2"/>
      <c r="D126" s="2"/>
      <c r="E126" s="2"/>
      <c r="F126" s="2"/>
    </row>
    <row r="127" spans="1:6" x14ac:dyDescent="0.35">
      <c r="A127" s="3">
        <v>0.99939999999999996</v>
      </c>
      <c r="B127" s="2">
        <v>0.99939334999999996</v>
      </c>
      <c r="C127" s="2"/>
      <c r="D127" s="2"/>
      <c r="E127" s="2"/>
      <c r="F127" s="2"/>
    </row>
    <row r="128" spans="1:6" x14ac:dyDescent="0.35">
      <c r="A128" s="3">
        <v>0.99950000000000006</v>
      </c>
      <c r="B128" s="2">
        <v>0.99948099999999995</v>
      </c>
      <c r="C128" s="2"/>
      <c r="D128" s="2"/>
      <c r="E128" s="2"/>
      <c r="F128" s="2"/>
    </row>
    <row r="129" spans="1:6" x14ac:dyDescent="0.35">
      <c r="A129" s="3">
        <v>0.99980000000000002</v>
      </c>
      <c r="B129" s="2">
        <v>0.99982324</v>
      </c>
      <c r="C129" s="2"/>
      <c r="D129" s="2"/>
      <c r="E129" s="2"/>
      <c r="F129" s="2"/>
    </row>
    <row r="130" spans="1:6" x14ac:dyDescent="0.35">
      <c r="A130" s="3" t="s">
        <v>92</v>
      </c>
      <c r="B130" s="2"/>
      <c r="C130" s="2">
        <v>180</v>
      </c>
      <c r="D130" s="2"/>
      <c r="E130" s="2"/>
      <c r="F130" s="2"/>
    </row>
    <row r="131" spans="1:6" x14ac:dyDescent="0.35">
      <c r="A131" s="5">
        <v>3.2159999999999999E-19</v>
      </c>
      <c r="B131" s="4">
        <v>3.2163912000000001E-19</v>
      </c>
      <c r="C131" s="2"/>
      <c r="D131" s="2"/>
      <c r="E131" s="2"/>
      <c r="F131" s="2"/>
    </row>
    <row r="132" spans="1:6" x14ac:dyDescent="0.35">
      <c r="A132" s="5">
        <v>9.0790000000000002E-16</v>
      </c>
      <c r="B132" s="4">
        <v>9.0785286000000003E-16</v>
      </c>
      <c r="C132" s="2"/>
      <c r="D132" s="2"/>
      <c r="E132" s="2"/>
      <c r="F132" s="2"/>
    </row>
    <row r="133" spans="1:6" x14ac:dyDescent="0.35">
      <c r="A133" s="5">
        <v>1.297E-15</v>
      </c>
      <c r="B133" s="4">
        <v>1.2974233000000001E-15</v>
      </c>
      <c r="C133" s="2"/>
      <c r="D133" s="2"/>
      <c r="E133" s="2"/>
      <c r="F133" s="2"/>
    </row>
    <row r="134" spans="1:6" x14ac:dyDescent="0.35">
      <c r="A134" s="5">
        <v>2.4730000000000001E-15</v>
      </c>
      <c r="B134" s="4">
        <v>2.4731959E-15</v>
      </c>
      <c r="C134" s="2"/>
      <c r="D134" s="2"/>
      <c r="E134" s="2"/>
      <c r="F134" s="2"/>
    </row>
    <row r="135" spans="1:6" x14ac:dyDescent="0.35">
      <c r="A135" s="3" t="s">
        <v>89</v>
      </c>
      <c r="B135" s="2"/>
      <c r="C135" s="2"/>
      <c r="D135" s="2"/>
      <c r="E135" s="2"/>
      <c r="F135" s="2"/>
    </row>
    <row r="136" spans="1:6" x14ac:dyDescent="0.35">
      <c r="A136" s="3">
        <v>0.99229999999999996</v>
      </c>
      <c r="B136" s="2">
        <v>0.99233373999999996</v>
      </c>
      <c r="C136" s="2"/>
      <c r="D136" s="2"/>
      <c r="E136" s="2"/>
      <c r="F136" s="2"/>
    </row>
    <row r="137" spans="1:6" x14ac:dyDescent="0.35">
      <c r="A137" s="3">
        <v>0.99829999999999997</v>
      </c>
      <c r="B137" s="2">
        <v>0.99828353999999997</v>
      </c>
      <c r="C137" s="2"/>
      <c r="D137" s="2"/>
      <c r="E137" s="2"/>
      <c r="F137" s="2"/>
    </row>
    <row r="138" spans="1:6" x14ac:dyDescent="0.35">
      <c r="A138" s="3">
        <v>0.99980000000000002</v>
      </c>
      <c r="B138" s="2">
        <v>0.99983352000000003</v>
      </c>
      <c r="C138" s="2"/>
      <c r="D138" s="2"/>
      <c r="E138" s="2"/>
      <c r="F138" s="2"/>
    </row>
    <row r="139" spans="1:6" x14ac:dyDescent="0.35">
      <c r="A139" s="3" t="s">
        <v>93</v>
      </c>
      <c r="B139" s="2"/>
      <c r="C139" s="2"/>
      <c r="D139" s="2"/>
      <c r="E139" s="2"/>
      <c r="F139" s="2"/>
    </row>
    <row r="140" spans="1:6" x14ac:dyDescent="0.35">
      <c r="A140" s="3" t="s">
        <v>150</v>
      </c>
      <c r="B140" s="2" t="s">
        <v>95</v>
      </c>
      <c r="C140" s="2">
        <v>3</v>
      </c>
      <c r="D140" s="2"/>
      <c r="E140" s="2"/>
      <c r="F140" s="2"/>
    </row>
    <row r="141" spans="1:6" x14ac:dyDescent="0.35">
      <c r="A141" s="3" t="s">
        <v>158</v>
      </c>
      <c r="B141" s="2" t="s">
        <v>158</v>
      </c>
      <c r="C141" s="2"/>
      <c r="D141" s="2"/>
      <c r="E141" s="2"/>
      <c r="F141" s="2"/>
    </row>
    <row r="142" spans="1:6" x14ac:dyDescent="0.35">
      <c r="A142" s="3" t="s">
        <v>161</v>
      </c>
      <c r="B142" s="2" t="s">
        <v>161</v>
      </c>
      <c r="C142" s="2"/>
      <c r="D142" s="2"/>
      <c r="E142" s="2"/>
      <c r="F142" s="2"/>
    </row>
    <row r="143" spans="1:6" x14ac:dyDescent="0.35">
      <c r="A143" s="3" t="s">
        <v>168</v>
      </c>
      <c r="B143" s="2" t="s">
        <v>168</v>
      </c>
      <c r="C143" s="2"/>
      <c r="D143" s="2"/>
      <c r="E143" s="2"/>
      <c r="F143" s="2"/>
    </row>
    <row r="145" spans="1:16" ht="17.5" x14ac:dyDescent="0.35">
      <c r="A145" s="1" t="s">
        <v>102</v>
      </c>
    </row>
    <row r="147" spans="1:16" x14ac:dyDescent="0.35">
      <c r="A147" s="3" t="s">
        <v>103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35">
      <c r="A148" s="3" t="s">
        <v>104</v>
      </c>
      <c r="B148" s="3" t="s">
        <v>42</v>
      </c>
      <c r="C148" s="3" t="s">
        <v>105</v>
      </c>
      <c r="D148" s="3" t="s">
        <v>123</v>
      </c>
      <c r="E148" s="3" t="s">
        <v>43</v>
      </c>
      <c r="F148" s="3" t="s">
        <v>105</v>
      </c>
      <c r="G148" s="3" t="s">
        <v>123</v>
      </c>
      <c r="H148" s="3" t="s">
        <v>44</v>
      </c>
      <c r="I148" s="3" t="s">
        <v>105</v>
      </c>
      <c r="J148" s="3" t="s">
        <v>123</v>
      </c>
      <c r="K148" s="3" t="s">
        <v>45</v>
      </c>
      <c r="L148" s="3" t="s">
        <v>105</v>
      </c>
      <c r="M148" s="3" t="s">
        <v>123</v>
      </c>
      <c r="N148" s="3" t="s">
        <v>106</v>
      </c>
      <c r="O148" s="3" t="s">
        <v>9</v>
      </c>
      <c r="P148" s="2"/>
    </row>
    <row r="149" spans="1:16" x14ac:dyDescent="0.35">
      <c r="A149" s="3"/>
      <c r="B149" s="2">
        <v>1.38</v>
      </c>
      <c r="C149" s="2">
        <v>0.1961</v>
      </c>
      <c r="D149" s="2">
        <v>7.0365000000000002</v>
      </c>
      <c r="E149" s="2">
        <v>0.45679999999999998</v>
      </c>
      <c r="F149" s="2">
        <v>0.29809999999999998</v>
      </c>
      <c r="G149" s="2">
        <v>1.5321</v>
      </c>
      <c r="H149" s="2">
        <v>0.26369999999999999</v>
      </c>
      <c r="I149" s="2">
        <v>0.2591</v>
      </c>
      <c r="J149" s="2">
        <v>1.0179</v>
      </c>
      <c r="K149" s="2">
        <v>-2.1004</v>
      </c>
      <c r="L149" s="2">
        <v>0.44400000000000001</v>
      </c>
      <c r="M149" s="2">
        <v>-4.7304000000000004</v>
      </c>
      <c r="N149" s="2">
        <v>53.606900000000003</v>
      </c>
      <c r="O149" s="4">
        <v>1.4E-11</v>
      </c>
      <c r="P149" s="2"/>
    </row>
    <row r="150" spans="1:16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35">
      <c r="A151" s="3" t="s">
        <v>107</v>
      </c>
      <c r="B151" s="3" t="s">
        <v>42</v>
      </c>
      <c r="C151" s="3" t="s">
        <v>105</v>
      </c>
      <c r="D151" s="3" t="s">
        <v>123</v>
      </c>
      <c r="E151" s="3" t="s">
        <v>43</v>
      </c>
      <c r="F151" s="3" t="s">
        <v>105</v>
      </c>
      <c r="G151" s="3" t="s">
        <v>123</v>
      </c>
      <c r="H151" s="3" t="s">
        <v>44</v>
      </c>
      <c r="I151" s="3" t="s">
        <v>105</v>
      </c>
      <c r="J151" s="3" t="s">
        <v>123</v>
      </c>
      <c r="K151" s="3" t="s">
        <v>45</v>
      </c>
      <c r="L151" s="3" t="s">
        <v>105</v>
      </c>
      <c r="M151" s="3" t="s">
        <v>123</v>
      </c>
      <c r="N151" s="3" t="s">
        <v>106</v>
      </c>
      <c r="O151" s="3" t="s">
        <v>9</v>
      </c>
      <c r="P151" s="2"/>
    </row>
    <row r="152" spans="1:16" x14ac:dyDescent="0.35">
      <c r="A152" s="3" t="s">
        <v>150</v>
      </c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35">
      <c r="A153" s="3" t="s">
        <v>158</v>
      </c>
      <c r="B153" s="2">
        <v>0.18329999999999999</v>
      </c>
      <c r="C153" s="2">
        <v>0.27960000000000002</v>
      </c>
      <c r="D153" s="2">
        <v>0.65549999999999997</v>
      </c>
      <c r="E153" s="2">
        <v>1.4E-3</v>
      </c>
      <c r="F153" s="2">
        <v>0.39560000000000001</v>
      </c>
      <c r="G153" s="2">
        <v>3.5999999999999999E-3</v>
      </c>
      <c r="H153" s="2">
        <v>-2.64E-2</v>
      </c>
      <c r="I153" s="2">
        <v>0.33760000000000001</v>
      </c>
      <c r="J153" s="2">
        <v>-7.8200000000000006E-2</v>
      </c>
      <c r="K153" s="2">
        <v>-0.1583</v>
      </c>
      <c r="L153" s="2">
        <v>0.66010000000000002</v>
      </c>
      <c r="M153" s="2">
        <v>-0.2399</v>
      </c>
      <c r="N153" s="2">
        <v>6.3193999999999999</v>
      </c>
      <c r="O153" s="2">
        <v>0.39</v>
      </c>
      <c r="P153" s="2"/>
    </row>
    <row r="154" spans="1:16" x14ac:dyDescent="0.35">
      <c r="A154" s="3" t="s">
        <v>161</v>
      </c>
      <c r="B154" s="2">
        <v>0.1071</v>
      </c>
      <c r="C154" s="2">
        <v>0.28520000000000001</v>
      </c>
      <c r="D154" s="2">
        <v>0.3755</v>
      </c>
      <c r="E154" s="2">
        <v>0.47799999999999998</v>
      </c>
      <c r="F154" s="2">
        <v>0.42530000000000001</v>
      </c>
      <c r="G154" s="2">
        <v>1.1236999999999999</v>
      </c>
      <c r="H154" s="2">
        <v>-0.50960000000000005</v>
      </c>
      <c r="I154" s="2">
        <v>0.41120000000000001</v>
      </c>
      <c r="J154" s="2">
        <v>-1.2393000000000001</v>
      </c>
      <c r="K154" s="2">
        <v>-7.5399999999999995E-2</v>
      </c>
      <c r="L154" s="2">
        <v>0.64300000000000002</v>
      </c>
      <c r="M154" s="2">
        <v>-0.1173</v>
      </c>
      <c r="N154" s="2"/>
      <c r="O154" s="2"/>
      <c r="P154" s="2"/>
    </row>
    <row r="155" spans="1:16" x14ac:dyDescent="0.35">
      <c r="A155" s="3" t="s">
        <v>168</v>
      </c>
      <c r="B155" s="2">
        <v>-0.29039999999999999</v>
      </c>
      <c r="C155" s="2">
        <v>0.26690000000000003</v>
      </c>
      <c r="D155" s="2">
        <v>-1.0878000000000001</v>
      </c>
      <c r="E155" s="2">
        <v>-0.47939999999999999</v>
      </c>
      <c r="F155" s="2">
        <v>0.4425</v>
      </c>
      <c r="G155" s="2">
        <v>-1.0833999999999999</v>
      </c>
      <c r="H155" s="2">
        <v>0.53600000000000003</v>
      </c>
      <c r="I155" s="2">
        <v>0.34589999999999999</v>
      </c>
      <c r="J155" s="2">
        <v>1.5497000000000001</v>
      </c>
      <c r="K155" s="2">
        <v>0.23380000000000001</v>
      </c>
      <c r="L155" s="2">
        <v>0.57779999999999998</v>
      </c>
      <c r="M155" s="2">
        <v>0.40450000000000003</v>
      </c>
      <c r="N155" s="2"/>
      <c r="O155" s="2"/>
      <c r="P155" s="2"/>
    </row>
    <row r="156" spans="1:16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8" spans="1:16" ht="17.5" x14ac:dyDescent="0.35">
      <c r="A158" s="1" t="s">
        <v>108</v>
      </c>
    </row>
    <row r="160" spans="1:16" x14ac:dyDescent="0.35">
      <c r="A160" s="3" t="s">
        <v>103</v>
      </c>
      <c r="B160" s="3"/>
      <c r="C160" s="3"/>
      <c r="D160" s="3" t="s">
        <v>106</v>
      </c>
      <c r="E160" s="3" t="s">
        <v>109</v>
      </c>
      <c r="F160" s="3" t="s">
        <v>9</v>
      </c>
    </row>
    <row r="161" spans="1:6" x14ac:dyDescent="0.35">
      <c r="A161" s="3" t="s">
        <v>104</v>
      </c>
      <c r="B161" s="2"/>
      <c r="C161" s="2"/>
      <c r="D161" s="2"/>
      <c r="E161" s="2"/>
      <c r="F161" s="2"/>
    </row>
    <row r="162" spans="1:6" x14ac:dyDescent="0.35">
      <c r="A162" s="3" t="s">
        <v>110</v>
      </c>
      <c r="B162" s="3">
        <v>1</v>
      </c>
      <c r="C162" s="3">
        <v>2</v>
      </c>
      <c r="D162" s="2">
        <v>6.5556999999999999</v>
      </c>
      <c r="E162" s="2">
        <v>1</v>
      </c>
      <c r="F162" s="2">
        <v>0.01</v>
      </c>
    </row>
    <row r="163" spans="1:6" x14ac:dyDescent="0.35">
      <c r="A163" s="3" t="s">
        <v>110</v>
      </c>
      <c r="B163" s="3">
        <v>1</v>
      </c>
      <c r="C163" s="3">
        <v>3</v>
      </c>
      <c r="D163" s="2">
        <v>17.3691</v>
      </c>
      <c r="E163" s="2">
        <v>1</v>
      </c>
      <c r="F163" s="4">
        <v>3.1000000000000001E-5</v>
      </c>
    </row>
    <row r="164" spans="1:6" x14ac:dyDescent="0.35">
      <c r="A164" s="3" t="s">
        <v>110</v>
      </c>
      <c r="B164" s="3">
        <v>1</v>
      </c>
      <c r="C164" s="3">
        <v>4</v>
      </c>
      <c r="D164" s="2">
        <v>35.241700000000002</v>
      </c>
      <c r="E164" s="2">
        <v>1</v>
      </c>
      <c r="F164" s="4">
        <v>2.8999999999999999E-9</v>
      </c>
    </row>
    <row r="165" spans="1:6" x14ac:dyDescent="0.35">
      <c r="A165" s="3" t="s">
        <v>110</v>
      </c>
      <c r="B165" s="3">
        <v>2</v>
      </c>
      <c r="C165" s="3">
        <v>3</v>
      </c>
      <c r="D165" s="2">
        <v>0.20200000000000001</v>
      </c>
      <c r="E165" s="2">
        <v>1</v>
      </c>
      <c r="F165" s="2">
        <v>0.65</v>
      </c>
    </row>
    <row r="166" spans="1:6" x14ac:dyDescent="0.35">
      <c r="A166" s="3" t="s">
        <v>110</v>
      </c>
      <c r="B166" s="3">
        <v>2</v>
      </c>
      <c r="C166" s="3">
        <v>4</v>
      </c>
      <c r="D166" s="2">
        <v>15.1144</v>
      </c>
      <c r="E166" s="2">
        <v>1</v>
      </c>
      <c r="F166" s="2">
        <v>1E-4</v>
      </c>
    </row>
    <row r="167" spans="1:6" x14ac:dyDescent="0.35">
      <c r="A167" s="3" t="s">
        <v>110</v>
      </c>
      <c r="B167" s="3">
        <v>3</v>
      </c>
      <c r="C167" s="3">
        <v>4</v>
      </c>
      <c r="D167" s="2">
        <v>13.8384</v>
      </c>
      <c r="E167" s="2">
        <v>1</v>
      </c>
      <c r="F167" s="2">
        <v>2.0000000000000001E-4</v>
      </c>
    </row>
    <row r="168" spans="1:6" x14ac:dyDescent="0.35">
      <c r="A168" s="3" t="s">
        <v>150</v>
      </c>
      <c r="B168" s="2"/>
      <c r="C168" s="2"/>
      <c r="D168" s="2"/>
      <c r="E168" s="2"/>
      <c r="F168" s="2"/>
    </row>
    <row r="169" spans="1:6" x14ac:dyDescent="0.35">
      <c r="A169" s="3" t="s">
        <v>110</v>
      </c>
      <c r="B169" s="3">
        <v>1</v>
      </c>
      <c r="C169" s="3">
        <v>2</v>
      </c>
      <c r="D169" s="2">
        <v>0.5504</v>
      </c>
      <c r="E169" s="2">
        <v>2</v>
      </c>
      <c r="F169" s="2">
        <v>0.76</v>
      </c>
    </row>
    <row r="170" spans="1:6" x14ac:dyDescent="0.35">
      <c r="A170" s="3" t="s">
        <v>110</v>
      </c>
      <c r="B170" s="3">
        <v>1</v>
      </c>
      <c r="C170" s="3">
        <v>3</v>
      </c>
      <c r="D170" s="2">
        <v>5.3278999999999996</v>
      </c>
      <c r="E170" s="2">
        <v>2</v>
      </c>
      <c r="F170" s="2">
        <v>7.0000000000000007E-2</v>
      </c>
    </row>
    <row r="171" spans="1:6" x14ac:dyDescent="0.35">
      <c r="A171" s="3" t="s">
        <v>110</v>
      </c>
      <c r="B171" s="3">
        <v>1</v>
      </c>
      <c r="C171" s="3">
        <v>4</v>
      </c>
      <c r="D171" s="2">
        <v>0.48430000000000001</v>
      </c>
      <c r="E171" s="2">
        <v>2</v>
      </c>
      <c r="F171" s="2">
        <v>0.78</v>
      </c>
    </row>
    <row r="172" spans="1:6" x14ac:dyDescent="0.35">
      <c r="A172" s="3" t="s">
        <v>110</v>
      </c>
      <c r="B172" s="3">
        <v>2</v>
      </c>
      <c r="C172" s="3">
        <v>3</v>
      </c>
      <c r="D172" s="2">
        <v>2.9599000000000002</v>
      </c>
      <c r="E172" s="2">
        <v>2</v>
      </c>
      <c r="F172" s="2">
        <v>0.23</v>
      </c>
    </row>
    <row r="173" spans="1:6" x14ac:dyDescent="0.35">
      <c r="A173" s="3" t="s">
        <v>110</v>
      </c>
      <c r="B173" s="3">
        <v>2</v>
      </c>
      <c r="C173" s="3">
        <v>4</v>
      </c>
      <c r="D173" s="2">
        <v>0.69340000000000002</v>
      </c>
      <c r="E173" s="2">
        <v>2</v>
      </c>
      <c r="F173" s="2">
        <v>0.71</v>
      </c>
    </row>
    <row r="174" spans="1:6" x14ac:dyDescent="0.35">
      <c r="A174" s="3" t="s">
        <v>110</v>
      </c>
      <c r="B174" s="3">
        <v>3</v>
      </c>
      <c r="C174" s="3">
        <v>4</v>
      </c>
      <c r="D174" s="2">
        <v>0.24049999999999999</v>
      </c>
      <c r="E174" s="2">
        <v>2</v>
      </c>
      <c r="F174" s="2">
        <v>0.89</v>
      </c>
    </row>
    <row r="176" spans="1:6" ht="17.5" x14ac:dyDescent="0.35">
      <c r="A176" s="1" t="s">
        <v>111</v>
      </c>
    </row>
    <row r="178" spans="1:9" x14ac:dyDescent="0.35">
      <c r="A178" s="2"/>
      <c r="B178" s="3" t="s">
        <v>42</v>
      </c>
      <c r="C178" s="3" t="s">
        <v>105</v>
      </c>
      <c r="D178" s="3" t="s">
        <v>43</v>
      </c>
      <c r="E178" s="3" t="s">
        <v>105</v>
      </c>
      <c r="F178" s="3" t="s">
        <v>44</v>
      </c>
      <c r="G178" s="3" t="s">
        <v>105</v>
      </c>
      <c r="H178" s="3" t="s">
        <v>45</v>
      </c>
      <c r="I178" s="3" t="s">
        <v>105</v>
      </c>
    </row>
    <row r="179" spans="1:9" x14ac:dyDescent="0.35">
      <c r="A179" s="3" t="s">
        <v>112</v>
      </c>
      <c r="B179" s="2">
        <v>0.53779999999999994</v>
      </c>
      <c r="C179" s="2">
        <v>5.8999999999999997E-2</v>
      </c>
      <c r="D179" s="2">
        <v>0.22389999999999999</v>
      </c>
      <c r="E179" s="2">
        <v>6.3600000000000004E-2</v>
      </c>
      <c r="F179" s="2">
        <v>0.22</v>
      </c>
      <c r="G179" s="2">
        <v>4.6600000000000003E-2</v>
      </c>
      <c r="H179" s="2">
        <v>1.83E-2</v>
      </c>
      <c r="I179" s="2">
        <v>1.04E-2</v>
      </c>
    </row>
    <row r="180" spans="1:9" x14ac:dyDescent="0.35">
      <c r="A180" s="3" t="s">
        <v>107</v>
      </c>
      <c r="B180" s="2"/>
      <c r="C180" s="2"/>
      <c r="D180" s="2"/>
      <c r="E180" s="2"/>
      <c r="F180" s="2"/>
      <c r="G180" s="2"/>
      <c r="H180" s="2"/>
      <c r="I180" s="2"/>
    </row>
    <row r="181" spans="1:9" x14ac:dyDescent="0.35">
      <c r="A181" s="3" t="s">
        <v>150</v>
      </c>
      <c r="B181" s="2"/>
      <c r="C181" s="2"/>
      <c r="D181" s="2"/>
      <c r="E181" s="2"/>
      <c r="F181" s="2"/>
      <c r="G181" s="2"/>
      <c r="H181" s="2"/>
      <c r="I181" s="2"/>
    </row>
    <row r="182" spans="1:9" x14ac:dyDescent="0.35">
      <c r="A182" s="3" t="s">
        <v>158</v>
      </c>
      <c r="B182" s="2">
        <v>0.28610000000000002</v>
      </c>
      <c r="C182" s="2" t="s">
        <v>11</v>
      </c>
      <c r="D182" s="2">
        <v>0.2276</v>
      </c>
      <c r="E182" s="2" t="s">
        <v>11</v>
      </c>
      <c r="F182" s="2">
        <v>0.1857</v>
      </c>
      <c r="G182" s="2" t="s">
        <v>11</v>
      </c>
      <c r="H182" s="2">
        <v>0.1835</v>
      </c>
      <c r="I182" s="2" t="s">
        <v>11</v>
      </c>
    </row>
    <row r="183" spans="1:9" x14ac:dyDescent="0.35">
      <c r="A183" s="3" t="s">
        <v>161</v>
      </c>
      <c r="B183" s="2">
        <v>0.35189999999999999</v>
      </c>
      <c r="C183" s="2" t="s">
        <v>11</v>
      </c>
      <c r="D183" s="2">
        <v>0.48649999999999999</v>
      </c>
      <c r="E183" s="2" t="s">
        <v>11</v>
      </c>
      <c r="F183" s="2">
        <v>0.152</v>
      </c>
      <c r="G183" s="2" t="s">
        <v>11</v>
      </c>
      <c r="H183" s="2">
        <v>0.2646</v>
      </c>
      <c r="I183" s="2" t="s">
        <v>11</v>
      </c>
    </row>
    <row r="184" spans="1:9" x14ac:dyDescent="0.35">
      <c r="A184" s="3" t="s">
        <v>168</v>
      </c>
      <c r="B184" s="2">
        <v>0.36199999999999999</v>
      </c>
      <c r="C184" s="2" t="s">
        <v>11</v>
      </c>
      <c r="D184" s="2">
        <v>0.28589999999999999</v>
      </c>
      <c r="E184" s="2" t="s">
        <v>11</v>
      </c>
      <c r="F184" s="2">
        <v>0.6623</v>
      </c>
      <c r="G184" s="2" t="s">
        <v>11</v>
      </c>
      <c r="H184" s="2">
        <v>0.55189999999999995</v>
      </c>
      <c r="I184" s="2" t="s">
        <v>11</v>
      </c>
    </row>
    <row r="186" spans="1:9" ht="17.5" x14ac:dyDescent="0.35">
      <c r="A186" s="1" t="s">
        <v>113</v>
      </c>
    </row>
    <row r="188" spans="1:9" x14ac:dyDescent="0.35">
      <c r="A188" s="2"/>
      <c r="B188" s="3" t="s">
        <v>42</v>
      </c>
      <c r="C188" s="3" t="s">
        <v>43</v>
      </c>
      <c r="D188" s="3" t="s">
        <v>44</v>
      </c>
      <c r="E188" s="3" t="s">
        <v>45</v>
      </c>
    </row>
    <row r="189" spans="1:9" x14ac:dyDescent="0.35">
      <c r="A189" s="3" t="s">
        <v>114</v>
      </c>
      <c r="B189" s="2">
        <v>0.53779999999999994</v>
      </c>
      <c r="C189" s="2">
        <v>0.22389999999999999</v>
      </c>
      <c r="D189" s="2">
        <v>0.22</v>
      </c>
      <c r="E189" s="2">
        <v>1.83E-2</v>
      </c>
    </row>
    <row r="190" spans="1:9" x14ac:dyDescent="0.35">
      <c r="A190" s="3" t="s">
        <v>107</v>
      </c>
      <c r="B190" s="2"/>
      <c r="C190" s="2"/>
      <c r="D190" s="2"/>
      <c r="E190" s="2"/>
    </row>
    <row r="191" spans="1:9" x14ac:dyDescent="0.35">
      <c r="A191" s="3" t="s">
        <v>150</v>
      </c>
      <c r="B191" s="2"/>
      <c r="C191" s="2"/>
      <c r="D191" s="2"/>
      <c r="E191" s="2"/>
    </row>
    <row r="192" spans="1:9" x14ac:dyDescent="0.35">
      <c r="A192" s="3" t="s">
        <v>158</v>
      </c>
      <c r="B192" s="2">
        <v>0.61780000000000002</v>
      </c>
      <c r="C192" s="2">
        <v>0.2046</v>
      </c>
      <c r="D192" s="2">
        <v>0.1641</v>
      </c>
      <c r="E192" s="2">
        <v>1.35E-2</v>
      </c>
    </row>
    <row r="193" spans="1:9" x14ac:dyDescent="0.35">
      <c r="A193" s="3" t="s">
        <v>161</v>
      </c>
      <c r="B193" s="2">
        <v>0.56240000000000001</v>
      </c>
      <c r="C193" s="2">
        <v>0.32369999999999999</v>
      </c>
      <c r="D193" s="2">
        <v>9.9400000000000002E-2</v>
      </c>
      <c r="E193" s="2">
        <v>1.44E-2</v>
      </c>
    </row>
    <row r="194" spans="1:9" x14ac:dyDescent="0.35">
      <c r="A194" s="3" t="s">
        <v>168</v>
      </c>
      <c r="B194" s="2">
        <v>0.46970000000000001</v>
      </c>
      <c r="C194" s="2">
        <v>0.15440000000000001</v>
      </c>
      <c r="D194" s="2">
        <v>0.35149999999999998</v>
      </c>
      <c r="E194" s="2">
        <v>2.4400000000000002E-2</v>
      </c>
    </row>
    <row r="196" spans="1:9" ht="17.5" x14ac:dyDescent="0.35">
      <c r="A196" s="1" t="s">
        <v>115</v>
      </c>
    </row>
    <row r="198" spans="1:9" x14ac:dyDescent="0.35">
      <c r="A198" s="2"/>
      <c r="B198" s="20" t="s">
        <v>110</v>
      </c>
      <c r="C198" s="21"/>
      <c r="D198" s="21"/>
      <c r="E198" s="21"/>
      <c r="F198" s="21"/>
      <c r="G198" s="21"/>
      <c r="H198" s="21"/>
      <c r="I198" s="22"/>
    </row>
    <row r="199" spans="1:9" x14ac:dyDescent="0.35">
      <c r="A199" s="3" t="s">
        <v>150</v>
      </c>
      <c r="B199" s="3">
        <v>1</v>
      </c>
      <c r="C199" s="3" t="s">
        <v>105</v>
      </c>
      <c r="D199" s="3">
        <v>2</v>
      </c>
      <c r="E199" s="3" t="s">
        <v>105</v>
      </c>
      <c r="F199" s="3">
        <v>3</v>
      </c>
      <c r="G199" s="3" t="s">
        <v>105</v>
      </c>
      <c r="H199" s="3">
        <v>4</v>
      </c>
      <c r="I199" s="3" t="s">
        <v>105</v>
      </c>
    </row>
    <row r="200" spans="1:9" x14ac:dyDescent="0.35">
      <c r="A200" s="3" t="s">
        <v>158</v>
      </c>
      <c r="B200" s="2">
        <v>0.61780000000000002</v>
      </c>
      <c r="C200" s="2">
        <v>8.2199999999999995E-2</v>
      </c>
      <c r="D200" s="2">
        <v>0.2046</v>
      </c>
      <c r="E200" s="2">
        <v>8.2100000000000006E-2</v>
      </c>
      <c r="F200" s="2">
        <v>0.1641</v>
      </c>
      <c r="G200" s="2">
        <v>4.4400000000000002E-2</v>
      </c>
      <c r="H200" s="2">
        <v>1.35E-2</v>
      </c>
      <c r="I200" s="2">
        <v>1.4999999999999999E-2</v>
      </c>
    </row>
    <row r="201" spans="1:9" x14ac:dyDescent="0.35">
      <c r="A201" s="3" t="s">
        <v>161</v>
      </c>
      <c r="B201" s="2">
        <v>0.56240000000000001</v>
      </c>
      <c r="C201" s="2">
        <v>0.11940000000000001</v>
      </c>
      <c r="D201" s="2">
        <v>0.32369999999999999</v>
      </c>
      <c r="E201" s="2">
        <v>0.1361</v>
      </c>
      <c r="F201" s="2">
        <v>9.9400000000000002E-2</v>
      </c>
      <c r="G201" s="2">
        <v>5.74E-2</v>
      </c>
      <c r="H201" s="2">
        <v>1.44E-2</v>
      </c>
      <c r="I201" s="2">
        <v>1.4999999999999999E-2</v>
      </c>
    </row>
    <row r="202" spans="1:9" x14ac:dyDescent="0.35">
      <c r="A202" s="3" t="s">
        <v>168</v>
      </c>
      <c r="B202" s="2">
        <v>0.46970000000000001</v>
      </c>
      <c r="C202" s="2">
        <v>9.1700000000000004E-2</v>
      </c>
      <c r="D202" s="2">
        <v>0.15440000000000001</v>
      </c>
      <c r="E202" s="2">
        <v>9.4299999999999995E-2</v>
      </c>
      <c r="F202" s="2">
        <v>0.35149999999999998</v>
      </c>
      <c r="G202" s="2">
        <v>9.8699999999999996E-2</v>
      </c>
      <c r="H202" s="2">
        <v>2.4400000000000002E-2</v>
      </c>
      <c r="I202" s="2">
        <v>1.9900000000000001E-2</v>
      </c>
    </row>
    <row r="203" spans="1:9" x14ac:dyDescent="0.35">
      <c r="A203" s="23"/>
      <c r="B203" s="24"/>
      <c r="C203" s="24"/>
      <c r="D203" s="24"/>
      <c r="E203" s="24"/>
      <c r="F203" s="24"/>
      <c r="G203" s="24"/>
      <c r="H203" s="24"/>
      <c r="I203" s="25"/>
    </row>
    <row r="204" spans="1:9" x14ac:dyDescent="0.35">
      <c r="A204" s="2"/>
      <c r="B204" s="20" t="s">
        <v>116</v>
      </c>
      <c r="C204" s="21"/>
      <c r="D204" s="21"/>
      <c r="E204" s="21"/>
      <c r="F204" s="21"/>
      <c r="G204" s="21"/>
      <c r="H204" s="21"/>
      <c r="I204" s="22"/>
    </row>
    <row r="205" spans="1:9" x14ac:dyDescent="0.35">
      <c r="A205" s="3" t="s">
        <v>110</v>
      </c>
      <c r="B205" s="3" t="s">
        <v>88</v>
      </c>
      <c r="C205" s="3" t="s">
        <v>105</v>
      </c>
      <c r="D205" s="3" t="s">
        <v>90</v>
      </c>
      <c r="E205" s="3" t="s">
        <v>105</v>
      </c>
      <c r="F205" s="3" t="s">
        <v>91</v>
      </c>
      <c r="G205" s="3" t="s">
        <v>105</v>
      </c>
      <c r="H205" s="3" t="s">
        <v>92</v>
      </c>
      <c r="I205" s="3" t="s">
        <v>105</v>
      </c>
    </row>
    <row r="206" spans="1:9" x14ac:dyDescent="0.35">
      <c r="A206" s="3">
        <v>1</v>
      </c>
      <c r="B206" s="2">
        <v>0.93069999999999997</v>
      </c>
      <c r="C206" s="2" t="s">
        <v>11</v>
      </c>
      <c r="D206" s="2">
        <v>3.95E-2</v>
      </c>
      <c r="E206" s="2" t="s">
        <v>11</v>
      </c>
      <c r="F206" s="2">
        <v>2.76E-2</v>
      </c>
      <c r="G206" s="2" t="s">
        <v>11</v>
      </c>
      <c r="H206" s="2">
        <v>2.2000000000000001E-3</v>
      </c>
      <c r="I206" s="2" t="s">
        <v>11</v>
      </c>
    </row>
    <row r="207" spans="1:9" x14ac:dyDescent="0.35">
      <c r="A207" s="3">
        <v>2</v>
      </c>
      <c r="B207" s="2">
        <v>9.4799999999999995E-2</v>
      </c>
      <c r="C207" s="2" t="s">
        <v>11</v>
      </c>
      <c r="D207" s="2">
        <v>0.83530000000000004</v>
      </c>
      <c r="E207" s="2" t="s">
        <v>11</v>
      </c>
      <c r="F207" s="2">
        <v>6.9199999999999998E-2</v>
      </c>
      <c r="G207" s="2" t="s">
        <v>11</v>
      </c>
      <c r="H207" s="2">
        <v>5.9999999999999995E-4</v>
      </c>
      <c r="I207" s="2" t="s">
        <v>11</v>
      </c>
    </row>
    <row r="208" spans="1:9" x14ac:dyDescent="0.35">
      <c r="A208" s="3">
        <v>3</v>
      </c>
      <c r="B208" s="2">
        <v>6.7500000000000004E-2</v>
      </c>
      <c r="C208" s="2" t="s">
        <v>11</v>
      </c>
      <c r="D208" s="2">
        <v>7.0400000000000004E-2</v>
      </c>
      <c r="E208" s="2" t="s">
        <v>11</v>
      </c>
      <c r="F208" s="2">
        <v>0.85389999999999999</v>
      </c>
      <c r="G208" s="2" t="s">
        <v>11</v>
      </c>
      <c r="H208" s="2">
        <v>8.2000000000000007E-3</v>
      </c>
      <c r="I208" s="2" t="s">
        <v>11</v>
      </c>
    </row>
    <row r="209" spans="1:9" x14ac:dyDescent="0.35">
      <c r="A209" s="3">
        <v>4</v>
      </c>
      <c r="B209" s="2">
        <v>6.54E-2</v>
      </c>
      <c r="C209" s="2" t="s">
        <v>11</v>
      </c>
      <c r="D209" s="2">
        <v>7.9000000000000008E-3</v>
      </c>
      <c r="E209" s="2" t="s">
        <v>11</v>
      </c>
      <c r="F209" s="2">
        <v>9.8299999999999998E-2</v>
      </c>
      <c r="G209" s="2" t="s">
        <v>11</v>
      </c>
      <c r="H209" s="2">
        <v>0.82840000000000003</v>
      </c>
      <c r="I209" s="2" t="s">
        <v>11</v>
      </c>
    </row>
  </sheetData>
  <mergeCells count="5">
    <mergeCell ref="A3:F3"/>
    <mergeCell ref="B69:F69"/>
    <mergeCell ref="B198:I198"/>
    <mergeCell ref="A203:I203"/>
    <mergeCell ref="B204:I204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09"/>
  <sheetViews>
    <sheetView topLeftCell="A136" workbookViewId="0"/>
  </sheetViews>
  <sheetFormatPr defaultRowHeight="14.5" x14ac:dyDescent="0.35"/>
  <cols>
    <col min="1" max="1" width="30.453125" bestFit="1" customWidth="1"/>
    <col min="2" max="2" width="12.1796875" bestFit="1" customWidth="1"/>
    <col min="3" max="3" width="11.54296875" bestFit="1" customWidth="1"/>
    <col min="4" max="4" width="8.54296875" bestFit="1" customWidth="1"/>
    <col min="5" max="5" width="11.54296875" bestFit="1" customWidth="1"/>
    <col min="6" max="6" width="9.453125" bestFit="1" customWidth="1"/>
    <col min="7" max="7" width="11.54296875" bestFit="1" customWidth="1"/>
    <col min="8" max="8" width="8.26953125" bestFit="1" customWidth="1"/>
    <col min="9" max="9" width="11.54296875" bestFit="1" customWidth="1"/>
    <col min="10" max="11" width="8.26953125" bestFit="1" customWidth="1"/>
    <col min="12" max="12" width="11.54296875" bestFit="1" customWidth="1"/>
    <col min="13" max="13" width="8.26953125" bestFit="1" customWidth="1"/>
    <col min="14" max="14" width="9.54296875" bestFit="1" customWidth="1"/>
    <col min="15" max="15" width="9.453125" bestFit="1" customWidth="1"/>
  </cols>
  <sheetData>
    <row r="1" spans="1:6" ht="17.5" x14ac:dyDescent="0.35">
      <c r="A1" s="1" t="s">
        <v>179</v>
      </c>
    </row>
    <row r="3" spans="1:6" x14ac:dyDescent="0.35">
      <c r="A3" s="20" t="s">
        <v>0</v>
      </c>
      <c r="B3" s="21"/>
      <c r="C3" s="21"/>
      <c r="D3" s="21"/>
      <c r="E3" s="21"/>
      <c r="F3" s="22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1440</v>
      </c>
      <c r="C5" s="2"/>
      <c r="D5" s="2"/>
      <c r="E5" s="2"/>
      <c r="F5" s="2"/>
    </row>
    <row r="6" spans="1:6" x14ac:dyDescent="0.35">
      <c r="A6" s="3" t="s">
        <v>2</v>
      </c>
      <c r="B6" s="2">
        <v>9</v>
      </c>
      <c r="C6" s="2"/>
      <c r="D6" s="2"/>
      <c r="E6" s="2"/>
      <c r="F6" s="2"/>
    </row>
    <row r="7" spans="1:6" x14ac:dyDescent="0.35">
      <c r="A7" s="3" t="s">
        <v>3</v>
      </c>
      <c r="B7" s="2">
        <v>180716525.93290001</v>
      </c>
      <c r="C7" s="2"/>
      <c r="D7" s="2"/>
      <c r="E7" s="2"/>
      <c r="F7" s="2"/>
    </row>
    <row r="8" spans="1:6" x14ac:dyDescent="0.35">
      <c r="A8" s="3" t="s">
        <v>4</v>
      </c>
      <c r="B8" s="2">
        <v>180716525.93290001</v>
      </c>
      <c r="C8" s="2"/>
      <c r="D8" s="2"/>
      <c r="E8" s="2"/>
      <c r="F8" s="2"/>
    </row>
    <row r="9" spans="1:6" x14ac:dyDescent="0.35">
      <c r="A9" s="3" t="s">
        <v>5</v>
      </c>
      <c r="B9" s="2">
        <v>371165</v>
      </c>
      <c r="C9" s="2"/>
      <c r="D9" s="2"/>
      <c r="E9" s="2"/>
      <c r="F9" s="2"/>
    </row>
    <row r="10" spans="1:6" x14ac:dyDescent="0.35">
      <c r="A10" s="3" t="s">
        <v>6</v>
      </c>
      <c r="B10" s="2">
        <v>371165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0.62150000000000005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0.33929999999999999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0.40179999999999999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0.62150000000000005</v>
      </c>
      <c r="C17" s="2"/>
      <c r="D17" s="2"/>
      <c r="E17" s="2"/>
      <c r="F17" s="2"/>
    </row>
    <row r="18" spans="1:6" x14ac:dyDescent="0.35">
      <c r="A18" s="3" t="s">
        <v>15</v>
      </c>
      <c r="B18" s="2">
        <v>0.62150000000000005</v>
      </c>
      <c r="C18" s="2"/>
      <c r="D18" s="2"/>
      <c r="E18" s="2"/>
      <c r="F18" s="2"/>
    </row>
    <row r="19" spans="1:6" x14ac:dyDescent="0.35">
      <c r="A19" s="3" t="s">
        <v>16</v>
      </c>
      <c r="B19" s="2">
        <v>0.62150000000000005</v>
      </c>
      <c r="C19" s="2"/>
      <c r="D19" s="2"/>
      <c r="E19" s="2"/>
      <c r="F19" s="2"/>
    </row>
    <row r="20" spans="1:6" x14ac:dyDescent="0.35">
      <c r="A20" s="3" t="s">
        <v>17</v>
      </c>
      <c r="B20" s="2">
        <v>0.62150000000000005</v>
      </c>
      <c r="C20" s="2"/>
      <c r="D20" s="2"/>
      <c r="E20" s="2"/>
      <c r="F20" s="2"/>
    </row>
    <row r="21" spans="1:6" x14ac:dyDescent="0.35">
      <c r="A21" s="3" t="s">
        <v>18</v>
      </c>
      <c r="B21" s="2">
        <v>0.62150000000000005</v>
      </c>
      <c r="C21" s="2"/>
      <c r="D21" s="2"/>
      <c r="E21" s="2"/>
      <c r="F21" s="2"/>
    </row>
    <row r="22" spans="1:6" x14ac:dyDescent="0.35">
      <c r="A22" s="3" t="s">
        <v>19</v>
      </c>
      <c r="B22" s="2">
        <v>2.9999999999999997E-4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-1298.4132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-1298.4132</v>
      </c>
      <c r="C27" s="2"/>
      <c r="D27" s="2"/>
      <c r="E27" s="2"/>
      <c r="F27" s="2"/>
    </row>
    <row r="28" spans="1:6" x14ac:dyDescent="0.35">
      <c r="A28" s="3" t="s">
        <v>24</v>
      </c>
      <c r="B28" s="2">
        <v>2662.2779999999998</v>
      </c>
      <c r="C28" s="2"/>
      <c r="D28" s="2"/>
      <c r="E28" s="2"/>
      <c r="F28" s="2"/>
    </row>
    <row r="29" spans="1:6" x14ac:dyDescent="0.35">
      <c r="A29" s="3" t="s">
        <v>25</v>
      </c>
      <c r="B29" s="2">
        <v>2614.8263999999999</v>
      </c>
      <c r="C29" s="2"/>
      <c r="D29" s="2"/>
      <c r="E29" s="2"/>
      <c r="F29" s="2"/>
    </row>
    <row r="30" spans="1:6" x14ac:dyDescent="0.35">
      <c r="A30" s="3" t="s">
        <v>26</v>
      </c>
      <c r="B30" s="2">
        <v>2623.8263999999999</v>
      </c>
      <c r="C30" s="2"/>
      <c r="D30" s="2"/>
      <c r="E30" s="2"/>
      <c r="F30" s="2"/>
    </row>
    <row r="31" spans="1:6" x14ac:dyDescent="0.35">
      <c r="A31" s="3" t="s">
        <v>27</v>
      </c>
      <c r="B31" s="2">
        <v>2671.2779999999998</v>
      </c>
      <c r="C31" s="2"/>
      <c r="D31" s="2"/>
      <c r="E31" s="2"/>
      <c r="F31" s="2"/>
    </row>
    <row r="32" spans="1:6" x14ac:dyDescent="0.35">
      <c r="A32" s="3" t="s">
        <v>28</v>
      </c>
      <c r="B32" s="2">
        <v>2633.6880000000001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0.35720000000000002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2.2800000000000001E-2</v>
      </c>
      <c r="C38" s="2"/>
      <c r="D38" s="2"/>
      <c r="E38" s="2"/>
      <c r="F38" s="2"/>
    </row>
    <row r="39" spans="1:6" x14ac:dyDescent="0.35">
      <c r="A39" s="3" t="s">
        <v>33</v>
      </c>
      <c r="B39" s="2">
        <v>1.5699999999999999E-2</v>
      </c>
      <c r="C39" s="2"/>
      <c r="D39" s="2"/>
      <c r="E39" s="2"/>
      <c r="F39" s="2"/>
    </row>
    <row r="40" spans="1:6" x14ac:dyDescent="0.35">
      <c r="A40" s="3" t="s">
        <v>34</v>
      </c>
      <c r="B40" s="2">
        <v>-2587.5192999999999</v>
      </c>
      <c r="C40" s="2"/>
      <c r="D40" s="2"/>
      <c r="E40" s="2"/>
      <c r="F40" s="2"/>
    </row>
    <row r="41" spans="1:6" x14ac:dyDescent="0.35">
      <c r="A41" s="3" t="s">
        <v>35</v>
      </c>
      <c r="B41" s="2">
        <v>1289.1061</v>
      </c>
      <c r="C41" s="2"/>
      <c r="D41" s="2"/>
      <c r="E41" s="2"/>
      <c r="F41" s="2"/>
    </row>
    <row r="42" spans="1:6" x14ac:dyDescent="0.35">
      <c r="A42" s="3" t="s">
        <v>36</v>
      </c>
      <c r="B42" s="2">
        <v>5175.0385999999999</v>
      </c>
      <c r="C42" s="2"/>
      <c r="D42" s="2"/>
      <c r="E42" s="2"/>
      <c r="F42" s="2"/>
    </row>
    <row r="43" spans="1:6" x14ac:dyDescent="0.35">
      <c r="A43" s="3" t="s">
        <v>37</v>
      </c>
      <c r="B43" s="2">
        <v>5332.9417999999996</v>
      </c>
      <c r="C43" s="2"/>
      <c r="D43" s="2"/>
      <c r="E43" s="2"/>
      <c r="F43" s="2"/>
    </row>
    <row r="44" spans="1:6" x14ac:dyDescent="0.35">
      <c r="A44" s="3" t="s">
        <v>38</v>
      </c>
      <c r="B44" s="2">
        <v>5240.4902000000002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925.67949999999996</v>
      </c>
      <c r="C48" s="2">
        <v>0</v>
      </c>
      <c r="D48" s="2">
        <v>0</v>
      </c>
      <c r="E48" s="2">
        <v>0</v>
      </c>
      <c r="F48" s="2">
        <v>925.67949999999996</v>
      </c>
    </row>
    <row r="49" spans="1:6" x14ac:dyDescent="0.35">
      <c r="A49" s="3" t="s">
        <v>43</v>
      </c>
      <c r="B49" s="2">
        <v>188.39349999999999</v>
      </c>
      <c r="C49" s="2">
        <v>0</v>
      </c>
      <c r="D49" s="2">
        <v>0</v>
      </c>
      <c r="E49" s="2">
        <v>0</v>
      </c>
      <c r="F49" s="2">
        <v>188.39349999999999</v>
      </c>
    </row>
    <row r="50" spans="1:6" x14ac:dyDescent="0.35">
      <c r="A50" s="3" t="s">
        <v>44</v>
      </c>
      <c r="B50" s="2">
        <v>316.49400000000003</v>
      </c>
      <c r="C50" s="2">
        <v>0</v>
      </c>
      <c r="D50" s="2">
        <v>0</v>
      </c>
      <c r="E50" s="2">
        <v>0</v>
      </c>
      <c r="F50" s="2">
        <v>316.49400000000003</v>
      </c>
    </row>
    <row r="51" spans="1:6" x14ac:dyDescent="0.35">
      <c r="A51" s="3" t="s">
        <v>45</v>
      </c>
      <c r="B51" s="2">
        <v>9.4330999999999996</v>
      </c>
      <c r="C51" s="2">
        <v>0</v>
      </c>
      <c r="D51" s="2">
        <v>0</v>
      </c>
      <c r="E51" s="2">
        <v>0</v>
      </c>
      <c r="F51" s="2">
        <v>9.4330999999999996</v>
      </c>
    </row>
    <row r="52" spans="1:6" x14ac:dyDescent="0.35">
      <c r="A52" s="3" t="s">
        <v>46</v>
      </c>
      <c r="B52" s="2">
        <v>1440</v>
      </c>
      <c r="C52" s="2">
        <v>0</v>
      </c>
      <c r="D52" s="2">
        <v>0</v>
      </c>
      <c r="E52" s="2">
        <v>0</v>
      </c>
      <c r="F52" s="2">
        <v>1440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599.7373</v>
      </c>
      <c r="C56" s="2">
        <v>116.884</v>
      </c>
      <c r="D56" s="2">
        <v>202.6628</v>
      </c>
      <c r="E56" s="2">
        <v>6.3952999999999998</v>
      </c>
      <c r="F56" s="2">
        <v>925.67949999999996</v>
      </c>
    </row>
    <row r="57" spans="1:6" x14ac:dyDescent="0.35">
      <c r="A57" s="3" t="s">
        <v>43</v>
      </c>
      <c r="B57" s="2">
        <v>116.884</v>
      </c>
      <c r="C57" s="2">
        <v>30.087800000000001</v>
      </c>
      <c r="D57" s="2">
        <v>40.531500000000001</v>
      </c>
      <c r="E57" s="2">
        <v>0.89019999999999999</v>
      </c>
      <c r="F57" s="2">
        <v>188.39349999999999</v>
      </c>
    </row>
    <row r="58" spans="1:6" x14ac:dyDescent="0.35">
      <c r="A58" s="3" t="s">
        <v>44</v>
      </c>
      <c r="B58" s="2">
        <v>202.6628</v>
      </c>
      <c r="C58" s="2">
        <v>40.531500000000001</v>
      </c>
      <c r="D58" s="2">
        <v>71.238500000000002</v>
      </c>
      <c r="E58" s="2">
        <v>2.0611000000000002</v>
      </c>
      <c r="F58" s="2">
        <v>316.49400000000003</v>
      </c>
    </row>
    <row r="59" spans="1:6" x14ac:dyDescent="0.35">
      <c r="A59" s="3" t="s">
        <v>45</v>
      </c>
      <c r="B59" s="2">
        <v>6.3952999999999998</v>
      </c>
      <c r="C59" s="2">
        <v>0.89019999999999999</v>
      </c>
      <c r="D59" s="2">
        <v>2.0611000000000002</v>
      </c>
      <c r="E59" s="2">
        <v>8.6499999999999994E-2</v>
      </c>
      <c r="F59" s="2">
        <v>9.4330999999999996</v>
      </c>
    </row>
    <row r="60" spans="1:6" x14ac:dyDescent="0.35">
      <c r="A60" s="3" t="s">
        <v>46</v>
      </c>
      <c r="B60" s="2">
        <v>925.67949999999996</v>
      </c>
      <c r="C60" s="2">
        <v>188.39349999999999</v>
      </c>
      <c r="D60" s="2">
        <v>316.49400000000003</v>
      </c>
      <c r="E60" s="2">
        <v>9.4330999999999996</v>
      </c>
      <c r="F60" s="2">
        <v>1440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0.35720000000000002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2.2800000000000001E-2</v>
      </c>
      <c r="C65" s="2"/>
      <c r="D65" s="2"/>
      <c r="E65" s="2"/>
      <c r="F65" s="2"/>
    </row>
    <row r="66" spans="1:6" x14ac:dyDescent="0.35">
      <c r="A66" s="3" t="s">
        <v>33</v>
      </c>
      <c r="B66" s="2">
        <v>1.5699999999999999E-2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23" t="s">
        <v>180</v>
      </c>
      <c r="C69" s="24"/>
      <c r="D69" s="24"/>
      <c r="E69" s="24"/>
      <c r="F69" s="25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52</v>
      </c>
      <c r="B71" s="2"/>
      <c r="C71" s="2"/>
      <c r="D71" s="2"/>
      <c r="E71" s="2"/>
      <c r="F71" s="2"/>
    </row>
    <row r="72" spans="1:6" x14ac:dyDescent="0.35">
      <c r="A72" s="3" t="s">
        <v>53</v>
      </c>
      <c r="B72" s="2">
        <v>4</v>
      </c>
      <c r="C72" s="2"/>
      <c r="D72" s="2"/>
      <c r="E72" s="2"/>
      <c r="F72" s="2"/>
    </row>
    <row r="73" spans="1:6" x14ac:dyDescent="0.35">
      <c r="A73" s="3" t="s">
        <v>54</v>
      </c>
      <c r="B73" s="2"/>
      <c r="C73" s="2"/>
      <c r="D73" s="2"/>
      <c r="E73" s="2"/>
      <c r="F73" s="2"/>
    </row>
    <row r="74" spans="1:6" x14ac:dyDescent="0.35">
      <c r="A74" s="3" t="s">
        <v>55</v>
      </c>
      <c r="B74" s="4">
        <v>1E-8</v>
      </c>
      <c r="C74" s="2"/>
      <c r="D74" s="2"/>
      <c r="E74" s="2"/>
      <c r="F74" s="2"/>
    </row>
    <row r="75" spans="1:6" x14ac:dyDescent="0.35">
      <c r="A75" s="3" t="s">
        <v>56</v>
      </c>
      <c r="B75" s="2">
        <v>0.01</v>
      </c>
      <c r="C75" s="2"/>
      <c r="D75" s="2"/>
      <c r="E75" s="2"/>
      <c r="F75" s="2"/>
    </row>
    <row r="76" spans="1:6" x14ac:dyDescent="0.35">
      <c r="A76" s="3" t="s">
        <v>57</v>
      </c>
      <c r="B76" s="2">
        <v>250</v>
      </c>
      <c r="C76" s="2"/>
      <c r="D76" s="2"/>
      <c r="E76" s="2"/>
      <c r="F76" s="2"/>
    </row>
    <row r="77" spans="1:6" x14ac:dyDescent="0.35">
      <c r="A77" s="3" t="s">
        <v>58</v>
      </c>
      <c r="B77" s="2">
        <v>50</v>
      </c>
      <c r="C77" s="2"/>
      <c r="D77" s="2"/>
      <c r="E77" s="2"/>
      <c r="F77" s="2"/>
    </row>
    <row r="78" spans="1:6" x14ac:dyDescent="0.35">
      <c r="A78" s="3" t="s">
        <v>59</v>
      </c>
      <c r="B78" s="2"/>
      <c r="C78" s="2"/>
      <c r="D78" s="2"/>
      <c r="E78" s="2"/>
      <c r="F78" s="2"/>
    </row>
    <row r="79" spans="1:6" x14ac:dyDescent="0.35">
      <c r="A79" s="3" t="s">
        <v>60</v>
      </c>
      <c r="B79" s="2">
        <v>371165</v>
      </c>
      <c r="C79" s="2"/>
      <c r="D79" s="2"/>
      <c r="E79" s="2"/>
      <c r="F79" s="2"/>
    </row>
    <row r="80" spans="1:6" x14ac:dyDescent="0.35">
      <c r="A80" s="3" t="s">
        <v>61</v>
      </c>
      <c r="B80" s="2">
        <v>0</v>
      </c>
      <c r="C80" s="2"/>
      <c r="D80" s="2"/>
      <c r="E80" s="2"/>
      <c r="F80" s="2"/>
    </row>
    <row r="81" spans="1:6" x14ac:dyDescent="0.3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62</v>
      </c>
      <c r="B82" s="2">
        <v>150</v>
      </c>
      <c r="C82" s="2"/>
      <c r="D82" s="2"/>
      <c r="E82" s="2"/>
      <c r="F82" s="2"/>
    </row>
    <row r="83" spans="1:6" x14ac:dyDescent="0.35">
      <c r="A83" s="3" t="s">
        <v>63</v>
      </c>
      <c r="B83" s="2"/>
      <c r="C83" s="2"/>
      <c r="D83" s="2"/>
      <c r="E83" s="2"/>
      <c r="F83" s="2"/>
    </row>
    <row r="84" spans="1:6" x14ac:dyDescent="0.35">
      <c r="A84" s="3" t="s">
        <v>64</v>
      </c>
      <c r="B84" s="2">
        <v>1</v>
      </c>
      <c r="C84" s="2"/>
      <c r="D84" s="2"/>
      <c r="E84" s="2"/>
      <c r="F84" s="2"/>
    </row>
    <row r="85" spans="1:6" x14ac:dyDescent="0.35">
      <c r="A85" s="3" t="s">
        <v>65</v>
      </c>
      <c r="B85" s="2">
        <v>1</v>
      </c>
      <c r="C85" s="2"/>
      <c r="D85" s="2"/>
      <c r="E85" s="2"/>
      <c r="F85" s="2"/>
    </row>
    <row r="86" spans="1:6" x14ac:dyDescent="0.35">
      <c r="A86" s="3" t="s">
        <v>66</v>
      </c>
      <c r="B86" s="2">
        <v>0</v>
      </c>
      <c r="C86" s="2"/>
      <c r="D86" s="2"/>
      <c r="E86" s="2"/>
      <c r="F86" s="2"/>
    </row>
    <row r="87" spans="1:6" x14ac:dyDescent="0.35">
      <c r="A87" s="3" t="s">
        <v>67</v>
      </c>
      <c r="B87" s="2">
        <v>1</v>
      </c>
      <c r="C87" s="2"/>
      <c r="D87" s="2"/>
      <c r="E87" s="2"/>
      <c r="F87" s="2"/>
    </row>
    <row r="88" spans="1:6" x14ac:dyDescent="0.35">
      <c r="A88" s="3" t="s">
        <v>68</v>
      </c>
      <c r="B88" s="2"/>
      <c r="C88" s="2"/>
      <c r="D88" s="2"/>
      <c r="E88" s="2"/>
      <c r="F88" s="2"/>
    </row>
    <row r="89" spans="1:6" x14ac:dyDescent="0.35">
      <c r="A89" s="3" t="s">
        <v>69</v>
      </c>
      <c r="B89" s="2">
        <v>10</v>
      </c>
      <c r="C89" s="2"/>
      <c r="D89" s="2"/>
      <c r="E89" s="2"/>
      <c r="F89" s="2"/>
    </row>
    <row r="90" spans="1:6" x14ac:dyDescent="0.3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35">
      <c r="A91" s="3" t="s">
        <v>72</v>
      </c>
      <c r="B91" s="2"/>
      <c r="C91" s="2"/>
      <c r="D91" s="2"/>
      <c r="E91" s="2"/>
      <c r="F91" s="2"/>
    </row>
    <row r="92" spans="1:6" x14ac:dyDescent="0.3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3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3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35">
      <c r="A95" s="3" t="s">
        <v>79</v>
      </c>
      <c r="B95" s="2"/>
      <c r="C95" s="2"/>
      <c r="D95" s="2"/>
      <c r="E95" s="2"/>
      <c r="F95" s="2"/>
    </row>
    <row r="96" spans="1:6" x14ac:dyDescent="0.3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3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35">
      <c r="A98" s="3" t="s">
        <v>84</v>
      </c>
      <c r="B98" s="2">
        <v>1440</v>
      </c>
      <c r="C98" s="2"/>
      <c r="D98" s="2"/>
      <c r="E98" s="2"/>
      <c r="F98" s="2"/>
    </row>
    <row r="99" spans="1:6" x14ac:dyDescent="0.3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86</v>
      </c>
      <c r="B101" s="2"/>
      <c r="C101" s="2"/>
      <c r="D101" s="2"/>
      <c r="E101" s="2"/>
      <c r="F101" s="2"/>
    </row>
    <row r="102" spans="1:6" x14ac:dyDescent="0.35">
      <c r="A102" s="3" t="s">
        <v>87</v>
      </c>
      <c r="B102" s="2"/>
      <c r="C102" s="2"/>
      <c r="D102" s="2"/>
      <c r="E102" s="2"/>
      <c r="F102" s="2"/>
    </row>
    <row r="103" spans="1:6" x14ac:dyDescent="0.35">
      <c r="A103" s="3" t="s">
        <v>88</v>
      </c>
      <c r="B103" s="2"/>
      <c r="C103" s="2">
        <v>166</v>
      </c>
      <c r="D103" s="2"/>
      <c r="E103" s="2"/>
      <c r="F103" s="2"/>
    </row>
    <row r="104" spans="1:6" x14ac:dyDescent="0.35">
      <c r="A104" s="5">
        <v>2.28E-7</v>
      </c>
      <c r="B104" s="4">
        <v>2.2800843000000001E-7</v>
      </c>
      <c r="C104" s="2"/>
      <c r="D104" s="2"/>
      <c r="E104" s="2"/>
      <c r="F104" s="2"/>
    </row>
    <row r="105" spans="1:6" x14ac:dyDescent="0.35">
      <c r="A105" s="5">
        <v>3.8360000000000002E-7</v>
      </c>
      <c r="B105" s="4">
        <v>3.8364925E-7</v>
      </c>
      <c r="C105" s="2"/>
      <c r="D105" s="2"/>
      <c r="E105" s="2"/>
      <c r="F105" s="2"/>
    </row>
    <row r="106" spans="1:6" x14ac:dyDescent="0.35">
      <c r="A106" s="5">
        <v>5.6260000000000002E-7</v>
      </c>
      <c r="B106" s="4">
        <v>5.6259370999999997E-7</v>
      </c>
      <c r="C106" s="2"/>
      <c r="D106" s="2"/>
      <c r="E106" s="2"/>
      <c r="F106" s="2"/>
    </row>
    <row r="107" spans="1:6" x14ac:dyDescent="0.35">
      <c r="A107" s="5">
        <v>7.5069999999999997E-7</v>
      </c>
      <c r="B107" s="4">
        <v>7.5069012000000002E-7</v>
      </c>
      <c r="C107" s="2"/>
      <c r="D107" s="2"/>
      <c r="E107" s="2"/>
      <c r="F107" s="2"/>
    </row>
    <row r="108" spans="1:6" x14ac:dyDescent="0.35">
      <c r="A108" s="3" t="s">
        <v>89</v>
      </c>
      <c r="B108" s="2"/>
      <c r="C108" s="2"/>
      <c r="D108" s="2"/>
      <c r="E108" s="2"/>
      <c r="F108" s="2"/>
    </row>
    <row r="109" spans="1:6" x14ac:dyDescent="0.35">
      <c r="A109" s="3">
        <v>0.99970000000000003</v>
      </c>
      <c r="B109" s="2">
        <v>0.99974249999999998</v>
      </c>
      <c r="C109" s="2"/>
      <c r="D109" s="2"/>
      <c r="E109" s="2"/>
      <c r="F109" s="2"/>
    </row>
    <row r="110" spans="1:6" x14ac:dyDescent="0.35">
      <c r="A110" s="3">
        <v>0.99970000000000003</v>
      </c>
      <c r="B110" s="2">
        <v>0.99974262999999997</v>
      </c>
      <c r="C110" s="2"/>
      <c r="D110" s="2"/>
      <c r="E110" s="2"/>
      <c r="F110" s="2"/>
    </row>
    <row r="111" spans="1:6" x14ac:dyDescent="0.35">
      <c r="A111" s="3">
        <v>0.99990000000000001</v>
      </c>
      <c r="B111" s="2">
        <v>0.99988560000000004</v>
      </c>
      <c r="C111" s="2"/>
      <c r="D111" s="2"/>
      <c r="E111" s="2"/>
      <c r="F111" s="2"/>
    </row>
    <row r="112" spans="1:6" x14ac:dyDescent="0.35">
      <c r="A112" s="3" t="s">
        <v>90</v>
      </c>
      <c r="B112" s="2"/>
      <c r="C112" s="2">
        <v>166</v>
      </c>
      <c r="D112" s="2"/>
      <c r="E112" s="2"/>
      <c r="F112" s="2"/>
    </row>
    <row r="113" spans="1:6" x14ac:dyDescent="0.35">
      <c r="A113" s="5">
        <v>1.8309999999999999E-11</v>
      </c>
      <c r="B113" s="4">
        <v>1.8309181000000002E-11</v>
      </c>
      <c r="C113" s="2"/>
      <c r="D113" s="2"/>
      <c r="E113" s="2"/>
      <c r="F113" s="2"/>
    </row>
    <row r="114" spans="1:6" x14ac:dyDescent="0.35">
      <c r="A114" s="5">
        <v>8.5489999999999993E-9</v>
      </c>
      <c r="B114" s="4">
        <v>8.5486049000000008E-9</v>
      </c>
      <c r="C114" s="2"/>
      <c r="D114" s="2"/>
      <c r="E114" s="2"/>
      <c r="F114" s="2"/>
    </row>
    <row r="115" spans="1:6" x14ac:dyDescent="0.35">
      <c r="A115" s="5">
        <v>1.164E-8</v>
      </c>
      <c r="B115" s="4">
        <v>1.1639567E-8</v>
      </c>
      <c r="C115" s="2"/>
      <c r="D115" s="2"/>
      <c r="E115" s="2"/>
      <c r="F115" s="2"/>
    </row>
    <row r="116" spans="1:6" x14ac:dyDescent="0.35">
      <c r="A116" s="5">
        <v>2.1500000000000001E-8</v>
      </c>
      <c r="B116" s="4">
        <v>2.1495431E-8</v>
      </c>
      <c r="C116" s="2"/>
      <c r="D116" s="2"/>
      <c r="E116" s="2"/>
      <c r="F116" s="2"/>
    </row>
    <row r="117" spans="1:6" x14ac:dyDescent="0.35">
      <c r="A117" s="3" t="s">
        <v>89</v>
      </c>
      <c r="B117" s="2"/>
      <c r="C117" s="2"/>
      <c r="D117" s="2"/>
      <c r="E117" s="2"/>
      <c r="F117" s="2"/>
    </row>
    <row r="118" spans="1:6" x14ac:dyDescent="0.35">
      <c r="A118" s="3">
        <v>1</v>
      </c>
      <c r="B118" s="2">
        <v>0.99999925000000001</v>
      </c>
      <c r="C118" s="2"/>
      <c r="D118" s="2"/>
      <c r="E118" s="2"/>
      <c r="F118" s="2"/>
    </row>
    <row r="119" spans="1:6" x14ac:dyDescent="0.35">
      <c r="A119" s="3">
        <v>1</v>
      </c>
      <c r="B119" s="2">
        <v>0.99999943999999996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0.99999970999999999</v>
      </c>
      <c r="C120" s="2"/>
      <c r="D120" s="2"/>
      <c r="E120" s="2"/>
      <c r="F120" s="2"/>
    </row>
    <row r="121" spans="1:6" x14ac:dyDescent="0.35">
      <c r="A121" s="3" t="s">
        <v>91</v>
      </c>
      <c r="B121" s="2"/>
      <c r="C121" s="2">
        <v>166</v>
      </c>
      <c r="D121" s="2"/>
      <c r="E121" s="2"/>
      <c r="F121" s="2"/>
    </row>
    <row r="122" spans="1:6" x14ac:dyDescent="0.35">
      <c r="A122" s="5">
        <v>1.7540000000000001E-10</v>
      </c>
      <c r="B122" s="4">
        <v>1.7536650000000001E-10</v>
      </c>
      <c r="C122" s="2"/>
      <c r="D122" s="2"/>
      <c r="E122" s="2"/>
      <c r="F122" s="2"/>
    </row>
    <row r="123" spans="1:6" x14ac:dyDescent="0.35">
      <c r="A123" s="5">
        <v>9.7710000000000007E-10</v>
      </c>
      <c r="B123" s="4">
        <v>9.7709966E-10</v>
      </c>
      <c r="C123" s="2"/>
      <c r="D123" s="2"/>
      <c r="E123" s="2"/>
      <c r="F123" s="2"/>
    </row>
    <row r="124" spans="1:6" x14ac:dyDescent="0.35">
      <c r="A124" s="5">
        <v>9.7920000000000009E-10</v>
      </c>
      <c r="B124" s="4">
        <v>9.7918018999999994E-10</v>
      </c>
      <c r="C124" s="2"/>
      <c r="D124" s="2"/>
      <c r="E124" s="2"/>
      <c r="F124" s="2"/>
    </row>
    <row r="125" spans="1:6" x14ac:dyDescent="0.35">
      <c r="A125" s="5">
        <v>5.8610000000000003E-9</v>
      </c>
      <c r="B125" s="4">
        <v>5.8605541999999997E-9</v>
      </c>
      <c r="C125" s="2"/>
      <c r="D125" s="2"/>
      <c r="E125" s="2"/>
      <c r="F125" s="2"/>
    </row>
    <row r="126" spans="1:6" x14ac:dyDescent="0.35">
      <c r="A126" s="3" t="s">
        <v>89</v>
      </c>
      <c r="B126" s="2"/>
      <c r="C126" s="2"/>
      <c r="D126" s="2"/>
      <c r="E126" s="2"/>
      <c r="F126" s="2"/>
    </row>
    <row r="127" spans="1:6" x14ac:dyDescent="0.35">
      <c r="A127" s="3">
        <v>0.99939999999999996</v>
      </c>
      <c r="B127" s="2">
        <v>0.99939334999999996</v>
      </c>
      <c r="C127" s="2"/>
      <c r="D127" s="2"/>
      <c r="E127" s="2"/>
      <c r="F127" s="2"/>
    </row>
    <row r="128" spans="1:6" x14ac:dyDescent="0.35">
      <c r="A128" s="3">
        <v>0.99950000000000006</v>
      </c>
      <c r="B128" s="2">
        <v>0.99947531000000001</v>
      </c>
      <c r="C128" s="2"/>
      <c r="D128" s="2"/>
      <c r="E128" s="2"/>
      <c r="F128" s="2"/>
    </row>
    <row r="129" spans="1:6" x14ac:dyDescent="0.35">
      <c r="A129" s="3">
        <v>1</v>
      </c>
      <c r="B129" s="2">
        <v>0.99995160999999999</v>
      </c>
      <c r="C129" s="2"/>
      <c r="D129" s="2"/>
      <c r="E129" s="2"/>
      <c r="F129" s="2"/>
    </row>
    <row r="130" spans="1:6" x14ac:dyDescent="0.35">
      <c r="A130" s="3" t="s">
        <v>92</v>
      </c>
      <c r="B130" s="2"/>
      <c r="C130" s="2">
        <v>166</v>
      </c>
      <c r="D130" s="2"/>
      <c r="E130" s="2"/>
      <c r="F130" s="2"/>
    </row>
    <row r="131" spans="1:6" x14ac:dyDescent="0.35">
      <c r="A131" s="5">
        <v>4.9049999999999997E-18</v>
      </c>
      <c r="B131" s="4">
        <v>4.9054168000000002E-18</v>
      </c>
      <c r="C131" s="2"/>
      <c r="D131" s="2"/>
      <c r="E131" s="2"/>
      <c r="F131" s="2"/>
    </row>
    <row r="132" spans="1:6" x14ac:dyDescent="0.35">
      <c r="A132" s="5">
        <v>9.6110000000000007E-18</v>
      </c>
      <c r="B132" s="4">
        <v>9.6114144999999994E-18</v>
      </c>
      <c r="C132" s="2"/>
      <c r="D132" s="2"/>
      <c r="E132" s="2"/>
      <c r="F132" s="2"/>
    </row>
    <row r="133" spans="1:6" x14ac:dyDescent="0.35">
      <c r="A133" s="5">
        <v>3.7969999999999999E-16</v>
      </c>
      <c r="B133" s="4">
        <v>3.7974266E-16</v>
      </c>
      <c r="C133" s="2"/>
      <c r="D133" s="2"/>
      <c r="E133" s="2"/>
      <c r="F133" s="2"/>
    </row>
    <row r="134" spans="1:6" x14ac:dyDescent="0.35">
      <c r="A134" s="5">
        <v>6.274E-16</v>
      </c>
      <c r="B134" s="4">
        <v>6.2741827999999996E-16</v>
      </c>
      <c r="C134" s="2"/>
      <c r="D134" s="2"/>
      <c r="E134" s="2"/>
      <c r="F134" s="2"/>
    </row>
    <row r="135" spans="1:6" x14ac:dyDescent="0.35">
      <c r="A135" s="3" t="s">
        <v>89</v>
      </c>
      <c r="B135" s="2"/>
      <c r="C135" s="2"/>
      <c r="D135" s="2"/>
      <c r="E135" s="2"/>
      <c r="F135" s="2"/>
    </row>
    <row r="136" spans="1:6" x14ac:dyDescent="0.35">
      <c r="A136" s="3">
        <v>0.99909999999999999</v>
      </c>
      <c r="B136" s="2">
        <v>0.99913114999999997</v>
      </c>
      <c r="C136" s="2"/>
      <c r="D136" s="2"/>
      <c r="E136" s="2"/>
      <c r="F136" s="2"/>
    </row>
    <row r="137" spans="1:6" x14ac:dyDescent="0.35">
      <c r="A137" s="3">
        <v>1</v>
      </c>
      <c r="B137" s="2">
        <v>0.99997135999999998</v>
      </c>
      <c r="C137" s="2"/>
      <c r="D137" s="2"/>
      <c r="E137" s="2"/>
      <c r="F137" s="2"/>
    </row>
    <row r="138" spans="1:6" x14ac:dyDescent="0.35">
      <c r="A138" s="3">
        <v>1</v>
      </c>
      <c r="B138" s="2">
        <v>0.99999943999999996</v>
      </c>
      <c r="C138" s="2"/>
      <c r="D138" s="2"/>
      <c r="E138" s="2"/>
      <c r="F138" s="2"/>
    </row>
    <row r="139" spans="1:6" x14ac:dyDescent="0.35">
      <c r="A139" s="3" t="s">
        <v>93</v>
      </c>
      <c r="B139" s="2"/>
      <c r="C139" s="2"/>
      <c r="D139" s="2"/>
      <c r="E139" s="2"/>
      <c r="F139" s="2"/>
    </row>
    <row r="140" spans="1:6" x14ac:dyDescent="0.35">
      <c r="A140" s="3" t="s">
        <v>150</v>
      </c>
      <c r="B140" s="2" t="s">
        <v>95</v>
      </c>
      <c r="C140" s="2">
        <v>3</v>
      </c>
      <c r="D140" s="2"/>
      <c r="E140" s="2"/>
      <c r="F140" s="2"/>
    </row>
    <row r="141" spans="1:6" x14ac:dyDescent="0.35">
      <c r="A141" s="3" t="s">
        <v>153</v>
      </c>
      <c r="B141" s="2" t="s">
        <v>153</v>
      </c>
      <c r="C141" s="2"/>
      <c r="D141" s="2"/>
      <c r="E141" s="2"/>
      <c r="F141" s="2"/>
    </row>
    <row r="142" spans="1:6" x14ac:dyDescent="0.35">
      <c r="A142" s="3" t="s">
        <v>160</v>
      </c>
      <c r="B142" s="2" t="s">
        <v>160</v>
      </c>
      <c r="C142" s="2"/>
      <c r="D142" s="2"/>
      <c r="E142" s="2"/>
      <c r="F142" s="2"/>
    </row>
    <row r="143" spans="1:6" x14ac:dyDescent="0.35">
      <c r="A143" s="3" t="s">
        <v>165</v>
      </c>
      <c r="B143" s="2" t="s">
        <v>165</v>
      </c>
      <c r="C143" s="2"/>
      <c r="D143" s="2"/>
      <c r="E143" s="2"/>
      <c r="F143" s="2"/>
    </row>
    <row r="145" spans="1:16" ht="17.5" x14ac:dyDescent="0.35">
      <c r="A145" s="1" t="s">
        <v>102</v>
      </c>
    </row>
    <row r="147" spans="1:16" x14ac:dyDescent="0.35">
      <c r="A147" s="3" t="s">
        <v>103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35">
      <c r="A148" s="3" t="s">
        <v>104</v>
      </c>
      <c r="B148" s="3" t="s">
        <v>42</v>
      </c>
      <c r="C148" s="3" t="s">
        <v>105</v>
      </c>
      <c r="D148" s="3" t="s">
        <v>123</v>
      </c>
      <c r="E148" s="3" t="s">
        <v>43</v>
      </c>
      <c r="F148" s="3" t="s">
        <v>105</v>
      </c>
      <c r="G148" s="3" t="s">
        <v>123</v>
      </c>
      <c r="H148" s="3" t="s">
        <v>44</v>
      </c>
      <c r="I148" s="3" t="s">
        <v>105</v>
      </c>
      <c r="J148" s="3" t="s">
        <v>123</v>
      </c>
      <c r="K148" s="3" t="s">
        <v>45</v>
      </c>
      <c r="L148" s="3" t="s">
        <v>105</v>
      </c>
      <c r="M148" s="3" t="s">
        <v>123</v>
      </c>
      <c r="N148" s="3" t="s">
        <v>106</v>
      </c>
      <c r="O148" s="3" t="s">
        <v>9</v>
      </c>
      <c r="P148" s="2"/>
    </row>
    <row r="149" spans="1:16" x14ac:dyDescent="0.35">
      <c r="A149" s="3"/>
      <c r="B149" s="2">
        <v>5.7031000000000001</v>
      </c>
      <c r="C149" s="2">
        <v>0.25180000000000002</v>
      </c>
      <c r="D149" s="2">
        <v>22.65</v>
      </c>
      <c r="E149" s="2">
        <v>4.0823999999999998</v>
      </c>
      <c r="F149" s="2">
        <v>0.28160000000000002</v>
      </c>
      <c r="G149" s="2">
        <v>14.497999999999999</v>
      </c>
      <c r="H149" s="2">
        <v>4.2473000000000001</v>
      </c>
      <c r="I149" s="2">
        <v>0.28189999999999998</v>
      </c>
      <c r="J149" s="2">
        <v>15.0684</v>
      </c>
      <c r="K149" s="2">
        <v>-14.0327</v>
      </c>
      <c r="L149" s="2">
        <v>0.60550000000000004</v>
      </c>
      <c r="M149" s="2">
        <v>-23.175599999999999</v>
      </c>
      <c r="N149" s="2">
        <v>615.92449999999997</v>
      </c>
      <c r="O149" s="4">
        <v>3.6000000000000004E-133</v>
      </c>
      <c r="P149" s="2"/>
    </row>
    <row r="150" spans="1:16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35">
      <c r="A151" s="3" t="s">
        <v>107</v>
      </c>
      <c r="B151" s="3" t="s">
        <v>42</v>
      </c>
      <c r="C151" s="3" t="s">
        <v>105</v>
      </c>
      <c r="D151" s="3" t="s">
        <v>123</v>
      </c>
      <c r="E151" s="3" t="s">
        <v>43</v>
      </c>
      <c r="F151" s="3" t="s">
        <v>105</v>
      </c>
      <c r="G151" s="3" t="s">
        <v>123</v>
      </c>
      <c r="H151" s="3" t="s">
        <v>44</v>
      </c>
      <c r="I151" s="3" t="s">
        <v>105</v>
      </c>
      <c r="J151" s="3" t="s">
        <v>123</v>
      </c>
      <c r="K151" s="3" t="s">
        <v>45</v>
      </c>
      <c r="L151" s="3" t="s">
        <v>105</v>
      </c>
      <c r="M151" s="3" t="s">
        <v>123</v>
      </c>
      <c r="N151" s="3" t="s">
        <v>106</v>
      </c>
      <c r="O151" s="3" t="s">
        <v>9</v>
      </c>
      <c r="P151" s="2"/>
    </row>
    <row r="152" spans="1:16" x14ac:dyDescent="0.35">
      <c r="A152" s="3" t="s">
        <v>150</v>
      </c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35">
      <c r="A153" s="3" t="s">
        <v>153</v>
      </c>
      <c r="B153" s="2">
        <v>-3.6141000000000001</v>
      </c>
      <c r="C153" s="2">
        <v>0.33700000000000002</v>
      </c>
      <c r="D153" s="2">
        <v>-10.7242</v>
      </c>
      <c r="E153" s="2">
        <v>-4.0088999999999997</v>
      </c>
      <c r="F153" s="2">
        <v>0.44529999999999997</v>
      </c>
      <c r="G153" s="2">
        <v>-9.0029000000000003</v>
      </c>
      <c r="H153" s="2">
        <v>-4.4850000000000003</v>
      </c>
      <c r="I153" s="2">
        <v>0.28189999999999998</v>
      </c>
      <c r="J153" s="2">
        <v>-15.911899999999999</v>
      </c>
      <c r="K153" s="2">
        <v>12.1081</v>
      </c>
      <c r="L153" s="2">
        <v>0.57340000000000002</v>
      </c>
      <c r="M153" s="2">
        <v>21.116</v>
      </c>
      <c r="N153" s="2">
        <v>5531.4058000000005</v>
      </c>
      <c r="O153" s="4" t="s">
        <v>181</v>
      </c>
      <c r="P153" s="2"/>
    </row>
    <row r="154" spans="1:16" x14ac:dyDescent="0.35">
      <c r="A154" s="3" t="s">
        <v>160</v>
      </c>
      <c r="B154" s="2">
        <v>7.4782000000000002</v>
      </c>
      <c r="C154" s="2">
        <v>0.33429999999999999</v>
      </c>
      <c r="D154" s="2">
        <v>22.367599999999999</v>
      </c>
      <c r="E154" s="2">
        <v>8.2181999999999995</v>
      </c>
      <c r="F154" s="2">
        <v>0.44190000000000002</v>
      </c>
      <c r="G154" s="2">
        <v>18.595700000000001</v>
      </c>
      <c r="H154" s="2">
        <v>7.9314</v>
      </c>
      <c r="I154" s="2">
        <v>40329253.591499999</v>
      </c>
      <c r="J154" s="2">
        <v>0</v>
      </c>
      <c r="K154" s="2">
        <v>-23.627800000000001</v>
      </c>
      <c r="L154" s="2">
        <v>40329253.240999997</v>
      </c>
      <c r="M154" s="2">
        <v>0</v>
      </c>
      <c r="N154" s="2"/>
      <c r="O154" s="2"/>
      <c r="P154" s="2"/>
    </row>
    <row r="155" spans="1:16" x14ac:dyDescent="0.35">
      <c r="A155" s="3" t="s">
        <v>165</v>
      </c>
      <c r="B155" s="2">
        <v>-3.8641000000000001</v>
      </c>
      <c r="C155" s="2">
        <v>0.26929999999999998</v>
      </c>
      <c r="D155" s="2">
        <v>-14.3467</v>
      </c>
      <c r="E155" s="2">
        <v>-4.2092999999999998</v>
      </c>
      <c r="F155" s="2">
        <v>0.3715</v>
      </c>
      <c r="G155" s="2">
        <v>-11.3294</v>
      </c>
      <c r="H155" s="2">
        <v>-3.4462999999999999</v>
      </c>
      <c r="I155" s="2">
        <v>40329253.671700001</v>
      </c>
      <c r="J155" s="2">
        <v>0</v>
      </c>
      <c r="K155" s="2">
        <v>11.5197</v>
      </c>
      <c r="L155" s="2">
        <v>40329253.453100003</v>
      </c>
      <c r="M155" s="2">
        <v>0</v>
      </c>
      <c r="N155" s="2"/>
      <c r="O155" s="2"/>
      <c r="P155" s="2"/>
    </row>
    <row r="156" spans="1:16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8" spans="1:16" ht="17.5" x14ac:dyDescent="0.35">
      <c r="A158" s="1" t="s">
        <v>108</v>
      </c>
    </row>
    <row r="160" spans="1:16" x14ac:dyDescent="0.35">
      <c r="A160" s="3" t="s">
        <v>103</v>
      </c>
      <c r="B160" s="3"/>
      <c r="C160" s="3"/>
      <c r="D160" s="3" t="s">
        <v>106</v>
      </c>
      <c r="E160" s="3" t="s">
        <v>109</v>
      </c>
      <c r="F160" s="3" t="s">
        <v>9</v>
      </c>
    </row>
    <row r="161" spans="1:6" x14ac:dyDescent="0.35">
      <c r="A161" s="3" t="s">
        <v>104</v>
      </c>
      <c r="B161" s="2"/>
      <c r="C161" s="2"/>
      <c r="D161" s="2"/>
      <c r="E161" s="2"/>
      <c r="F161" s="2"/>
    </row>
    <row r="162" spans="1:6" x14ac:dyDescent="0.35">
      <c r="A162" s="3" t="s">
        <v>110</v>
      </c>
      <c r="B162" s="3">
        <v>1</v>
      </c>
      <c r="C162" s="3">
        <v>2</v>
      </c>
      <c r="D162" s="2">
        <v>23.1554</v>
      </c>
      <c r="E162" s="2">
        <v>1</v>
      </c>
      <c r="F162" s="4">
        <v>1.5E-6</v>
      </c>
    </row>
    <row r="163" spans="1:6" x14ac:dyDescent="0.35">
      <c r="A163" s="3" t="s">
        <v>110</v>
      </c>
      <c r="B163" s="3">
        <v>1</v>
      </c>
      <c r="C163" s="3">
        <v>3</v>
      </c>
      <c r="D163" s="2">
        <v>34.0428</v>
      </c>
      <c r="E163" s="2">
        <v>1</v>
      </c>
      <c r="F163" s="4">
        <v>5.4000000000000004E-9</v>
      </c>
    </row>
    <row r="164" spans="1:6" x14ac:dyDescent="0.35">
      <c r="A164" s="3" t="s">
        <v>110</v>
      </c>
      <c r="B164" s="3">
        <v>1</v>
      </c>
      <c r="C164" s="3">
        <v>4</v>
      </c>
      <c r="D164" s="2">
        <v>584.25909999999999</v>
      </c>
      <c r="E164" s="2">
        <v>1</v>
      </c>
      <c r="F164" s="4">
        <v>4.4000000000000001E-129</v>
      </c>
    </row>
    <row r="165" spans="1:6" x14ac:dyDescent="0.35">
      <c r="A165" s="3" t="s">
        <v>110</v>
      </c>
      <c r="B165" s="3">
        <v>2</v>
      </c>
      <c r="C165" s="3">
        <v>3</v>
      </c>
      <c r="D165" s="2">
        <v>0.21920000000000001</v>
      </c>
      <c r="E165" s="2">
        <v>1</v>
      </c>
      <c r="F165" s="2">
        <v>0.64</v>
      </c>
    </row>
    <row r="166" spans="1:6" x14ac:dyDescent="0.35">
      <c r="A166" s="3" t="s">
        <v>110</v>
      </c>
      <c r="B166" s="3">
        <v>2</v>
      </c>
      <c r="C166" s="3">
        <v>4</v>
      </c>
      <c r="D166" s="2">
        <v>490.96809999999999</v>
      </c>
      <c r="E166" s="2">
        <v>1</v>
      </c>
      <c r="F166" s="4">
        <v>8.7999999999999997E-109</v>
      </c>
    </row>
    <row r="167" spans="1:6" x14ac:dyDescent="0.35">
      <c r="A167" s="3" t="s">
        <v>110</v>
      </c>
      <c r="B167" s="3">
        <v>3</v>
      </c>
      <c r="C167" s="3">
        <v>4</v>
      </c>
      <c r="D167" s="2">
        <v>463.97019999999998</v>
      </c>
      <c r="E167" s="2">
        <v>1</v>
      </c>
      <c r="F167" s="4">
        <v>6.5999999999999998E-103</v>
      </c>
    </row>
    <row r="168" spans="1:6" x14ac:dyDescent="0.35">
      <c r="A168" s="3" t="s">
        <v>150</v>
      </c>
      <c r="B168" s="2"/>
      <c r="C168" s="2"/>
      <c r="D168" s="2"/>
      <c r="E168" s="2"/>
      <c r="F168" s="2"/>
    </row>
    <row r="169" spans="1:6" x14ac:dyDescent="0.35">
      <c r="A169" s="3" t="s">
        <v>110</v>
      </c>
      <c r="B169" s="3">
        <v>1</v>
      </c>
      <c r="C169" s="3">
        <v>2</v>
      </c>
      <c r="D169" s="2">
        <v>3.9822000000000002</v>
      </c>
      <c r="E169" s="2">
        <v>2</v>
      </c>
      <c r="F169" s="2">
        <v>0.14000000000000001</v>
      </c>
    </row>
    <row r="170" spans="1:6" x14ac:dyDescent="0.35">
      <c r="A170" s="3" t="s">
        <v>110</v>
      </c>
      <c r="B170" s="3">
        <v>1</v>
      </c>
      <c r="C170" s="3">
        <v>3</v>
      </c>
      <c r="D170" s="2">
        <v>4.28</v>
      </c>
      <c r="E170" s="2">
        <v>2</v>
      </c>
      <c r="F170" s="2">
        <v>0.12</v>
      </c>
    </row>
    <row r="171" spans="1:6" x14ac:dyDescent="0.35">
      <c r="A171" s="3" t="s">
        <v>110</v>
      </c>
      <c r="B171" s="3">
        <v>1</v>
      </c>
      <c r="C171" s="3">
        <v>4</v>
      </c>
      <c r="D171" s="2">
        <v>417.40539999999999</v>
      </c>
      <c r="E171" s="2">
        <v>2</v>
      </c>
      <c r="F171" s="4">
        <v>2.3E-91</v>
      </c>
    </row>
    <row r="172" spans="1:6" x14ac:dyDescent="0.35">
      <c r="A172" s="3" t="s">
        <v>110</v>
      </c>
      <c r="B172" s="3">
        <v>2</v>
      </c>
      <c r="C172" s="3">
        <v>3</v>
      </c>
      <c r="D172" s="2">
        <v>0.67279999999999995</v>
      </c>
      <c r="E172" s="2">
        <v>2</v>
      </c>
      <c r="F172" s="2">
        <v>0.71</v>
      </c>
    </row>
    <row r="173" spans="1:6" x14ac:dyDescent="0.35">
      <c r="A173" s="3" t="s">
        <v>110</v>
      </c>
      <c r="B173" s="3">
        <v>2</v>
      </c>
      <c r="C173" s="3">
        <v>4</v>
      </c>
      <c r="D173" s="2">
        <v>339.5127</v>
      </c>
      <c r="E173" s="2">
        <v>2</v>
      </c>
      <c r="F173" s="4">
        <v>1.8999999999999998E-74</v>
      </c>
    </row>
    <row r="174" spans="1:6" x14ac:dyDescent="0.35">
      <c r="A174" s="3" t="s">
        <v>110</v>
      </c>
      <c r="B174" s="3">
        <v>3</v>
      </c>
      <c r="C174" s="3">
        <v>4</v>
      </c>
      <c r="D174" s="2">
        <v>628.83590000000004</v>
      </c>
      <c r="E174" s="2">
        <v>2</v>
      </c>
      <c r="F174" s="4">
        <v>2.7999999999999999E-137</v>
      </c>
    </row>
    <row r="176" spans="1:6" ht="17.5" x14ac:dyDescent="0.35">
      <c r="A176" s="1" t="s">
        <v>111</v>
      </c>
    </row>
    <row r="178" spans="1:9" x14ac:dyDescent="0.35">
      <c r="A178" s="2"/>
      <c r="B178" s="3" t="s">
        <v>42</v>
      </c>
      <c r="C178" s="3" t="s">
        <v>105</v>
      </c>
      <c r="D178" s="3" t="s">
        <v>43</v>
      </c>
      <c r="E178" s="3" t="s">
        <v>105</v>
      </c>
      <c r="F178" s="3" t="s">
        <v>44</v>
      </c>
      <c r="G178" s="3" t="s">
        <v>105</v>
      </c>
      <c r="H178" s="3" t="s">
        <v>45</v>
      </c>
      <c r="I178" s="3" t="s">
        <v>105</v>
      </c>
    </row>
    <row r="179" spans="1:9" x14ac:dyDescent="0.35">
      <c r="A179" s="3" t="s">
        <v>112</v>
      </c>
      <c r="B179" s="2">
        <v>0.64280000000000004</v>
      </c>
      <c r="C179" s="2">
        <v>2912657.3355</v>
      </c>
      <c r="D179" s="2">
        <v>0.1308</v>
      </c>
      <c r="E179" s="2">
        <v>66729.104200000002</v>
      </c>
      <c r="F179" s="2">
        <v>0.2198</v>
      </c>
      <c r="G179" s="2">
        <v>3269322.4566000002</v>
      </c>
      <c r="H179" s="2">
        <v>6.6E-3</v>
      </c>
      <c r="I179" s="2">
        <v>289936.01699999999</v>
      </c>
    </row>
    <row r="180" spans="1:9" x14ac:dyDescent="0.35">
      <c r="A180" s="3" t="s">
        <v>107</v>
      </c>
      <c r="B180" s="2"/>
      <c r="C180" s="2"/>
      <c r="D180" s="2"/>
      <c r="E180" s="2"/>
      <c r="F180" s="2"/>
      <c r="G180" s="2"/>
      <c r="H180" s="2"/>
      <c r="I180" s="2"/>
    </row>
    <row r="181" spans="1:9" x14ac:dyDescent="0.35">
      <c r="A181" s="3" t="s">
        <v>150</v>
      </c>
      <c r="B181" s="2"/>
      <c r="C181" s="2"/>
      <c r="D181" s="2"/>
      <c r="E181" s="2"/>
      <c r="F181" s="2"/>
      <c r="G181" s="2"/>
      <c r="H181" s="2"/>
      <c r="I181" s="2"/>
    </row>
    <row r="182" spans="1:9" x14ac:dyDescent="0.35">
      <c r="A182" s="3" t="s">
        <v>153</v>
      </c>
      <c r="B182" s="2">
        <v>5.9299999999999999E-2</v>
      </c>
      <c r="C182" s="2" t="s">
        <v>11</v>
      </c>
      <c r="D182" s="2">
        <v>3.8800000000000001E-2</v>
      </c>
      <c r="E182" s="2" t="s">
        <v>11</v>
      </c>
      <c r="F182" s="2">
        <v>1.6899999999999998E-2</v>
      </c>
      <c r="G182" s="2" t="s">
        <v>11</v>
      </c>
      <c r="H182" s="2">
        <v>0.1052</v>
      </c>
      <c r="I182" s="2" t="s">
        <v>11</v>
      </c>
    </row>
    <row r="183" spans="1:9" x14ac:dyDescent="0.35">
      <c r="A183" s="3" t="s">
        <v>160</v>
      </c>
      <c r="B183" s="2">
        <v>0.23280000000000001</v>
      </c>
      <c r="C183" s="2" t="s">
        <v>11</v>
      </c>
      <c r="D183" s="2">
        <v>0.47410000000000002</v>
      </c>
      <c r="E183" s="2" t="s">
        <v>11</v>
      </c>
      <c r="F183" s="2">
        <v>0.24979999999999999</v>
      </c>
      <c r="G183" s="2" t="s">
        <v>11</v>
      </c>
      <c r="H183" s="2">
        <v>0</v>
      </c>
      <c r="I183" s="2" t="s">
        <v>11</v>
      </c>
    </row>
    <row r="184" spans="1:9" x14ac:dyDescent="0.35">
      <c r="A184" s="3" t="s">
        <v>165</v>
      </c>
      <c r="B184" s="2">
        <v>0.70789999999999997</v>
      </c>
      <c r="C184" s="2" t="s">
        <v>11</v>
      </c>
      <c r="D184" s="2">
        <v>0.48709999999999998</v>
      </c>
      <c r="E184" s="2" t="s">
        <v>11</v>
      </c>
      <c r="F184" s="2">
        <v>0.73319999999999996</v>
      </c>
      <c r="G184" s="2" t="s">
        <v>11</v>
      </c>
      <c r="H184" s="2">
        <v>0.89480000000000004</v>
      </c>
      <c r="I184" s="2" t="s">
        <v>11</v>
      </c>
    </row>
    <row r="186" spans="1:9" ht="17.5" x14ac:dyDescent="0.35">
      <c r="A186" s="1" t="s">
        <v>113</v>
      </c>
    </row>
    <row r="188" spans="1:9" x14ac:dyDescent="0.35">
      <c r="A188" s="2"/>
      <c r="B188" s="3" t="s">
        <v>42</v>
      </c>
      <c r="C188" s="3" t="s">
        <v>43</v>
      </c>
      <c r="D188" s="3" t="s">
        <v>44</v>
      </c>
      <c r="E188" s="3" t="s">
        <v>45</v>
      </c>
    </row>
    <row r="189" spans="1:9" x14ac:dyDescent="0.35">
      <c r="A189" s="3" t="s">
        <v>114</v>
      </c>
      <c r="B189" s="2">
        <v>0.64280000000000004</v>
      </c>
      <c r="C189" s="2">
        <v>0.1308</v>
      </c>
      <c r="D189" s="2">
        <v>0.2198</v>
      </c>
      <c r="E189" s="2">
        <v>6.6E-3</v>
      </c>
    </row>
    <row r="190" spans="1:9" x14ac:dyDescent="0.35">
      <c r="A190" s="3" t="s">
        <v>107</v>
      </c>
      <c r="B190" s="2"/>
      <c r="C190" s="2"/>
      <c r="D190" s="2"/>
      <c r="E190" s="2"/>
    </row>
    <row r="191" spans="1:9" x14ac:dyDescent="0.35">
      <c r="A191" s="3" t="s">
        <v>150</v>
      </c>
      <c r="B191" s="2"/>
      <c r="C191" s="2"/>
      <c r="D191" s="2"/>
      <c r="E191" s="2"/>
    </row>
    <row r="192" spans="1:9" x14ac:dyDescent="0.35">
      <c r="A192" s="3" t="s">
        <v>153</v>
      </c>
      <c r="B192" s="2">
        <v>0.80069999999999997</v>
      </c>
      <c r="C192" s="2">
        <v>0.1067</v>
      </c>
      <c r="D192" s="2">
        <v>7.8200000000000006E-2</v>
      </c>
      <c r="E192" s="2">
        <v>1.4500000000000001E-2</v>
      </c>
    </row>
    <row r="193" spans="1:9" x14ac:dyDescent="0.35">
      <c r="A193" s="3" t="s">
        <v>160</v>
      </c>
      <c r="B193" s="2">
        <v>0.56140000000000001</v>
      </c>
      <c r="C193" s="2">
        <v>0.23269999999999999</v>
      </c>
      <c r="D193" s="2">
        <v>0.20599999999999999</v>
      </c>
      <c r="E193" s="2">
        <v>0</v>
      </c>
    </row>
    <row r="194" spans="1:9" x14ac:dyDescent="0.35">
      <c r="A194" s="3" t="s">
        <v>165</v>
      </c>
      <c r="B194" s="2">
        <v>0.66349999999999998</v>
      </c>
      <c r="C194" s="2">
        <v>9.2899999999999996E-2</v>
      </c>
      <c r="D194" s="2">
        <v>0.23499999999999999</v>
      </c>
      <c r="E194" s="2">
        <v>8.5000000000000006E-3</v>
      </c>
    </row>
    <row r="196" spans="1:9" ht="17.5" x14ac:dyDescent="0.35">
      <c r="A196" s="1" t="s">
        <v>115</v>
      </c>
    </row>
    <row r="198" spans="1:9" x14ac:dyDescent="0.35">
      <c r="A198" s="2"/>
      <c r="B198" s="20" t="s">
        <v>110</v>
      </c>
      <c r="C198" s="21"/>
      <c r="D198" s="21"/>
      <c r="E198" s="21"/>
      <c r="F198" s="21"/>
      <c r="G198" s="21"/>
      <c r="H198" s="21"/>
      <c r="I198" s="22"/>
    </row>
    <row r="199" spans="1:9" x14ac:dyDescent="0.35">
      <c r="A199" s="3" t="s">
        <v>150</v>
      </c>
      <c r="B199" s="3">
        <v>1</v>
      </c>
      <c r="C199" s="3" t="s">
        <v>105</v>
      </c>
      <c r="D199" s="3">
        <v>2</v>
      </c>
      <c r="E199" s="3" t="s">
        <v>105</v>
      </c>
      <c r="F199" s="3">
        <v>3</v>
      </c>
      <c r="G199" s="3" t="s">
        <v>105</v>
      </c>
      <c r="H199" s="3">
        <v>4</v>
      </c>
      <c r="I199" s="3" t="s">
        <v>105</v>
      </c>
    </row>
    <row r="200" spans="1:9" x14ac:dyDescent="0.35">
      <c r="A200" s="3" t="s">
        <v>153</v>
      </c>
      <c r="B200" s="2">
        <v>0.80069999999999997</v>
      </c>
      <c r="C200" s="2">
        <v>9.3600000000000003E-2</v>
      </c>
      <c r="D200" s="2">
        <v>0.1067</v>
      </c>
      <c r="E200" s="2">
        <v>7.4800000000000005E-2</v>
      </c>
      <c r="F200" s="2">
        <v>7.8200000000000006E-2</v>
      </c>
      <c r="G200" s="2">
        <v>4.0300000000000002E-2</v>
      </c>
      <c r="H200" s="2">
        <v>1.4500000000000001E-2</v>
      </c>
      <c r="I200" s="2">
        <v>1.6E-2</v>
      </c>
    </row>
    <row r="201" spans="1:9" x14ac:dyDescent="0.35">
      <c r="A201" s="3" t="s">
        <v>160</v>
      </c>
      <c r="B201" s="2">
        <v>0.56140000000000001</v>
      </c>
      <c r="C201" s="2">
        <v>4663014.7537000002</v>
      </c>
      <c r="D201" s="2">
        <v>0.23269999999999999</v>
      </c>
      <c r="E201" s="2">
        <v>1932670.1158</v>
      </c>
      <c r="F201" s="2">
        <v>0.20599999999999999</v>
      </c>
      <c r="G201" s="2">
        <v>6595684.8695</v>
      </c>
      <c r="H201" s="2">
        <v>0</v>
      </c>
      <c r="I201" s="2">
        <v>0</v>
      </c>
    </row>
    <row r="202" spans="1:9" x14ac:dyDescent="0.35">
      <c r="A202" s="3" t="s">
        <v>165</v>
      </c>
      <c r="B202" s="2">
        <v>0.66349999999999998</v>
      </c>
      <c r="C202" s="2">
        <v>6059714.3092</v>
      </c>
      <c r="D202" s="2">
        <v>9.2899999999999996E-2</v>
      </c>
      <c r="E202" s="2">
        <v>848567.30980000005</v>
      </c>
      <c r="F202" s="2">
        <v>0.23499999999999999</v>
      </c>
      <c r="G202" s="2">
        <v>7331053.8202</v>
      </c>
      <c r="H202" s="2">
        <v>8.5000000000000006E-3</v>
      </c>
      <c r="I202" s="2">
        <v>422772.20120000001</v>
      </c>
    </row>
    <row r="203" spans="1:9" x14ac:dyDescent="0.35">
      <c r="A203" s="23"/>
      <c r="B203" s="24"/>
      <c r="C203" s="24"/>
      <c r="D203" s="24"/>
      <c r="E203" s="24"/>
      <c r="F203" s="24"/>
      <c r="G203" s="24"/>
      <c r="H203" s="24"/>
      <c r="I203" s="25"/>
    </row>
    <row r="204" spans="1:9" x14ac:dyDescent="0.35">
      <c r="A204" s="2"/>
      <c r="B204" s="20" t="s">
        <v>116</v>
      </c>
      <c r="C204" s="21"/>
      <c r="D204" s="21"/>
      <c r="E204" s="21"/>
      <c r="F204" s="21"/>
      <c r="G204" s="21"/>
      <c r="H204" s="21"/>
      <c r="I204" s="22"/>
    </row>
    <row r="205" spans="1:9" x14ac:dyDescent="0.35">
      <c r="A205" s="3" t="s">
        <v>110</v>
      </c>
      <c r="B205" s="3" t="s">
        <v>88</v>
      </c>
      <c r="C205" s="3" t="s">
        <v>105</v>
      </c>
      <c r="D205" s="3" t="s">
        <v>90</v>
      </c>
      <c r="E205" s="3" t="s">
        <v>105</v>
      </c>
      <c r="F205" s="3" t="s">
        <v>91</v>
      </c>
      <c r="G205" s="3" t="s">
        <v>105</v>
      </c>
      <c r="H205" s="3" t="s">
        <v>92</v>
      </c>
      <c r="I205" s="3" t="s">
        <v>105</v>
      </c>
    </row>
    <row r="206" spans="1:9" x14ac:dyDescent="0.35">
      <c r="A206" s="3">
        <v>1</v>
      </c>
      <c r="B206" s="2">
        <v>0.96060000000000001</v>
      </c>
      <c r="C206" s="2" t="s">
        <v>11</v>
      </c>
      <c r="D206" s="2">
        <v>2.7699999999999999E-2</v>
      </c>
      <c r="E206" s="2" t="s">
        <v>11</v>
      </c>
      <c r="F206" s="2">
        <v>1.12E-2</v>
      </c>
      <c r="G206" s="2" t="s">
        <v>11</v>
      </c>
      <c r="H206" s="2">
        <v>5.9999999999999995E-4</v>
      </c>
      <c r="I206" s="2" t="s">
        <v>11</v>
      </c>
    </row>
    <row r="207" spans="1:9" x14ac:dyDescent="0.35">
      <c r="A207" s="3">
        <v>2</v>
      </c>
      <c r="B207" s="2">
        <v>0.13589999999999999</v>
      </c>
      <c r="C207" s="2" t="s">
        <v>11</v>
      </c>
      <c r="D207" s="2">
        <v>0.77390000000000003</v>
      </c>
      <c r="E207" s="2" t="s">
        <v>11</v>
      </c>
      <c r="F207" s="2">
        <v>9.0200000000000002E-2</v>
      </c>
      <c r="G207" s="2" t="s">
        <v>11</v>
      </c>
      <c r="H207" s="2">
        <v>0</v>
      </c>
      <c r="I207" s="2" t="s">
        <v>11</v>
      </c>
    </row>
    <row r="208" spans="1:9" x14ac:dyDescent="0.35">
      <c r="A208" s="3">
        <v>3</v>
      </c>
      <c r="B208" s="2">
        <v>3.2599999999999997E-2</v>
      </c>
      <c r="C208" s="2" t="s">
        <v>11</v>
      </c>
      <c r="D208" s="2">
        <v>5.3600000000000002E-2</v>
      </c>
      <c r="E208" s="2" t="s">
        <v>11</v>
      </c>
      <c r="F208" s="2">
        <v>0.91080000000000005</v>
      </c>
      <c r="G208" s="2" t="s">
        <v>11</v>
      </c>
      <c r="H208" s="2">
        <v>3.0000000000000001E-3</v>
      </c>
      <c r="I208" s="2" t="s">
        <v>11</v>
      </c>
    </row>
    <row r="209" spans="1:9" x14ac:dyDescent="0.35">
      <c r="A209" s="3">
        <v>4</v>
      </c>
      <c r="B209" s="2">
        <v>5.91E-2</v>
      </c>
      <c r="C209" s="2" t="s">
        <v>11</v>
      </c>
      <c r="D209" s="2">
        <v>2.9999999999999997E-4</v>
      </c>
      <c r="E209" s="2" t="s">
        <v>11</v>
      </c>
      <c r="F209" s="2">
        <v>0.1047</v>
      </c>
      <c r="G209" s="2" t="s">
        <v>11</v>
      </c>
      <c r="H209" s="2">
        <v>0.83599999999999997</v>
      </c>
      <c r="I209" s="2" t="s">
        <v>11</v>
      </c>
    </row>
  </sheetData>
  <mergeCells count="5">
    <mergeCell ref="A3:F3"/>
    <mergeCell ref="B69:F69"/>
    <mergeCell ref="B198:I198"/>
    <mergeCell ref="A203:I203"/>
    <mergeCell ref="B204:I20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204"/>
  <sheetViews>
    <sheetView topLeftCell="A175" workbookViewId="0">
      <selection activeCell="B196" sqref="B196"/>
    </sheetView>
  </sheetViews>
  <sheetFormatPr defaultRowHeight="14.5" x14ac:dyDescent="0.35"/>
  <cols>
    <col min="1" max="1" width="30.453125" bestFit="1" customWidth="1"/>
    <col min="2" max="2" width="12.1796875" bestFit="1" customWidth="1"/>
    <col min="3" max="3" width="11.54296875" bestFit="1" customWidth="1"/>
    <col min="4" max="4" width="8.54296875" bestFit="1" customWidth="1"/>
    <col min="5" max="5" width="11.54296875" bestFit="1" customWidth="1"/>
    <col min="6" max="6" width="9.54296875" bestFit="1" customWidth="1"/>
    <col min="7" max="7" width="11.54296875" bestFit="1" customWidth="1"/>
    <col min="8" max="8" width="8.26953125" bestFit="1" customWidth="1"/>
    <col min="9" max="9" width="11.54296875" bestFit="1" customWidth="1"/>
    <col min="10" max="10" width="7.54296875" bestFit="1" customWidth="1"/>
    <col min="11" max="11" width="8.26953125" bestFit="1" customWidth="1"/>
    <col min="12" max="12" width="10.54296875" bestFit="1" customWidth="1"/>
    <col min="13" max="13" width="8.26953125" bestFit="1" customWidth="1"/>
    <col min="14" max="14" width="8.54296875" bestFit="1" customWidth="1"/>
    <col min="15" max="15" width="8.453125" bestFit="1" customWidth="1"/>
  </cols>
  <sheetData>
    <row r="1" spans="1:6" ht="17.5" x14ac:dyDescent="0.35">
      <c r="A1" s="1" t="s">
        <v>182</v>
      </c>
    </row>
    <row r="3" spans="1:6" x14ac:dyDescent="0.35">
      <c r="A3" s="20" t="s">
        <v>0</v>
      </c>
      <c r="B3" s="21"/>
      <c r="C3" s="21"/>
      <c r="D3" s="21"/>
      <c r="E3" s="21"/>
      <c r="F3" s="22"/>
    </row>
    <row r="4" spans="1:6" x14ac:dyDescent="0.35">
      <c r="A4" s="2"/>
      <c r="B4" s="2"/>
      <c r="C4" s="2"/>
      <c r="D4" s="2"/>
      <c r="E4" s="2"/>
      <c r="F4" s="2"/>
    </row>
    <row r="5" spans="1:6" x14ac:dyDescent="0.35">
      <c r="A5" s="3" t="s">
        <v>1</v>
      </c>
      <c r="B5" s="2">
        <v>1428</v>
      </c>
      <c r="C5" s="2"/>
      <c r="D5" s="2"/>
      <c r="E5" s="2"/>
      <c r="F5" s="2"/>
    </row>
    <row r="6" spans="1:6" x14ac:dyDescent="0.35">
      <c r="A6" s="3" t="s">
        <v>2</v>
      </c>
      <c r="B6" s="2">
        <v>6</v>
      </c>
      <c r="C6" s="2"/>
      <c r="D6" s="2"/>
      <c r="E6" s="2"/>
      <c r="F6" s="2"/>
    </row>
    <row r="7" spans="1:6" x14ac:dyDescent="0.35">
      <c r="A7" s="3" t="s">
        <v>3</v>
      </c>
      <c r="B7" s="2">
        <v>105883410.2924</v>
      </c>
      <c r="C7" s="2"/>
      <c r="D7" s="2"/>
      <c r="E7" s="2"/>
      <c r="F7" s="2"/>
    </row>
    <row r="8" spans="1:6" x14ac:dyDescent="0.35">
      <c r="A8" s="3" t="s">
        <v>4</v>
      </c>
      <c r="B8" s="2">
        <v>105883410.2924</v>
      </c>
      <c r="C8" s="2"/>
      <c r="D8" s="2"/>
      <c r="E8" s="2"/>
      <c r="F8" s="2"/>
    </row>
    <row r="9" spans="1:6" x14ac:dyDescent="0.35">
      <c r="A9" s="3" t="s">
        <v>5</v>
      </c>
      <c r="B9" s="2">
        <v>55408</v>
      </c>
      <c r="C9" s="2"/>
      <c r="D9" s="2"/>
      <c r="E9" s="2"/>
      <c r="F9" s="2"/>
    </row>
    <row r="10" spans="1:6" x14ac:dyDescent="0.35">
      <c r="A10" s="3" t="s">
        <v>6</v>
      </c>
      <c r="B10" s="2">
        <v>55408</v>
      </c>
      <c r="C10" s="2"/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3" t="s">
        <v>7</v>
      </c>
      <c r="B12" s="2"/>
      <c r="C12" s="2"/>
      <c r="D12" s="2"/>
      <c r="E12" s="2"/>
      <c r="F12" s="2"/>
    </row>
    <row r="13" spans="1:6" x14ac:dyDescent="0.3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35">
      <c r="A14" s="3" t="s">
        <v>10</v>
      </c>
      <c r="B14" s="2">
        <v>0.26450000000000001</v>
      </c>
      <c r="C14" s="2" t="s">
        <v>11</v>
      </c>
      <c r="D14" s="2"/>
      <c r="E14" s="2"/>
      <c r="F14" s="2"/>
    </row>
    <row r="15" spans="1:6" x14ac:dyDescent="0.35">
      <c r="A15" s="3" t="s">
        <v>12</v>
      </c>
      <c r="B15" s="2">
        <v>0.21790000000000001</v>
      </c>
      <c r="C15" s="2" t="s">
        <v>11</v>
      </c>
      <c r="D15" s="2"/>
      <c r="E15" s="2"/>
      <c r="F15" s="2"/>
    </row>
    <row r="16" spans="1:6" x14ac:dyDescent="0.35">
      <c r="A16" s="3" t="s">
        <v>13</v>
      </c>
      <c r="B16" s="2">
        <v>0.2319</v>
      </c>
      <c r="C16" s="2" t="s">
        <v>11</v>
      </c>
      <c r="D16" s="2"/>
      <c r="E16" s="2"/>
      <c r="F16" s="2"/>
    </row>
    <row r="17" spans="1:6" x14ac:dyDescent="0.35">
      <c r="A17" s="3" t="s">
        <v>14</v>
      </c>
      <c r="B17" s="2">
        <v>0.26450000000000001</v>
      </c>
      <c r="C17" s="2"/>
      <c r="D17" s="2"/>
      <c r="E17" s="2"/>
      <c r="F17" s="2"/>
    </row>
    <row r="18" spans="1:6" x14ac:dyDescent="0.35">
      <c r="A18" s="3" t="s">
        <v>15</v>
      </c>
      <c r="B18" s="2">
        <v>0.26450000000000001</v>
      </c>
      <c r="C18" s="2"/>
      <c r="D18" s="2"/>
      <c r="E18" s="2"/>
      <c r="F18" s="2"/>
    </row>
    <row r="19" spans="1:6" x14ac:dyDescent="0.35">
      <c r="A19" s="3" t="s">
        <v>16</v>
      </c>
      <c r="B19" s="2">
        <v>0.26450000000000001</v>
      </c>
      <c r="C19" s="2"/>
      <c r="D19" s="2"/>
      <c r="E19" s="2"/>
      <c r="F19" s="2"/>
    </row>
    <row r="20" spans="1:6" x14ac:dyDescent="0.35">
      <c r="A20" s="3" t="s">
        <v>17</v>
      </c>
      <c r="B20" s="2">
        <v>0.26450000000000001</v>
      </c>
      <c r="C20" s="2"/>
      <c r="D20" s="2"/>
      <c r="E20" s="2"/>
      <c r="F20" s="2"/>
    </row>
    <row r="21" spans="1:6" x14ac:dyDescent="0.35">
      <c r="A21" s="3" t="s">
        <v>18</v>
      </c>
      <c r="B21" s="2">
        <v>0.26450000000000001</v>
      </c>
      <c r="C21" s="2"/>
      <c r="D21" s="2"/>
      <c r="E21" s="2"/>
      <c r="F21" s="2"/>
    </row>
    <row r="22" spans="1:6" x14ac:dyDescent="0.35">
      <c r="A22" s="3" t="s">
        <v>19</v>
      </c>
      <c r="B22" s="2">
        <v>4.0000000000000002E-4</v>
      </c>
      <c r="C22" s="2"/>
      <c r="D22" s="2"/>
      <c r="E22" s="2"/>
      <c r="F22" s="2"/>
    </row>
    <row r="23" spans="1:6" x14ac:dyDescent="0.35">
      <c r="A23" s="2"/>
      <c r="B23" s="2"/>
      <c r="C23" s="2"/>
      <c r="D23" s="2"/>
      <c r="E23" s="2"/>
      <c r="F23" s="2"/>
    </row>
    <row r="24" spans="1:6" x14ac:dyDescent="0.35">
      <c r="A24" s="3" t="s">
        <v>20</v>
      </c>
      <c r="B24" s="2"/>
      <c r="C24" s="2"/>
      <c r="D24" s="2"/>
      <c r="E24" s="2"/>
      <c r="F24" s="2"/>
    </row>
    <row r="25" spans="1:6" x14ac:dyDescent="0.35">
      <c r="A25" s="3" t="s">
        <v>21</v>
      </c>
      <c r="B25" s="2">
        <v>-1187.2045000000001</v>
      </c>
      <c r="C25" s="2"/>
      <c r="D25" s="2"/>
      <c r="E25" s="2"/>
      <c r="F25" s="2"/>
    </row>
    <row r="26" spans="1:6" x14ac:dyDescent="0.35">
      <c r="A26" s="3" t="s">
        <v>22</v>
      </c>
      <c r="B26" s="2">
        <v>0</v>
      </c>
      <c r="C26" s="2"/>
      <c r="D26" s="2"/>
      <c r="E26" s="2"/>
      <c r="F26" s="2"/>
    </row>
    <row r="27" spans="1:6" x14ac:dyDescent="0.35">
      <c r="A27" s="3" t="s">
        <v>23</v>
      </c>
      <c r="B27" s="2">
        <v>-1187.2045000000001</v>
      </c>
      <c r="C27" s="2"/>
      <c r="D27" s="2"/>
      <c r="E27" s="2"/>
      <c r="F27" s="2"/>
    </row>
    <row r="28" spans="1:6" x14ac:dyDescent="0.35">
      <c r="A28" s="3" t="s">
        <v>24</v>
      </c>
      <c r="B28" s="2">
        <v>2417.9931000000001</v>
      </c>
      <c r="C28" s="2"/>
      <c r="D28" s="2"/>
      <c r="E28" s="2"/>
      <c r="F28" s="2"/>
    </row>
    <row r="29" spans="1:6" x14ac:dyDescent="0.35">
      <c r="A29" s="3" t="s">
        <v>25</v>
      </c>
      <c r="B29" s="2">
        <v>2386.4090000000001</v>
      </c>
      <c r="C29" s="2"/>
      <c r="D29" s="2"/>
      <c r="E29" s="2"/>
      <c r="F29" s="2"/>
    </row>
    <row r="30" spans="1:6" x14ac:dyDescent="0.35">
      <c r="A30" s="3" t="s">
        <v>26</v>
      </c>
      <c r="B30" s="2">
        <v>2392.4090000000001</v>
      </c>
      <c r="C30" s="2"/>
      <c r="D30" s="2"/>
      <c r="E30" s="2"/>
      <c r="F30" s="2"/>
    </row>
    <row r="31" spans="1:6" x14ac:dyDescent="0.35">
      <c r="A31" s="3" t="s">
        <v>27</v>
      </c>
      <c r="B31" s="2">
        <v>2423.9931000000001</v>
      </c>
      <c r="C31" s="2"/>
      <c r="D31" s="2"/>
      <c r="E31" s="2"/>
      <c r="F31" s="2"/>
    </row>
    <row r="32" spans="1:6" x14ac:dyDescent="0.35">
      <c r="A32" s="3" t="s">
        <v>28</v>
      </c>
      <c r="B32" s="2">
        <v>2398.9331999999999</v>
      </c>
      <c r="C32" s="2"/>
      <c r="D32" s="2"/>
      <c r="E32" s="2"/>
      <c r="F32" s="2"/>
    </row>
    <row r="33" spans="1:6" x14ac:dyDescent="0.35">
      <c r="A33" s="2"/>
      <c r="B33" s="2"/>
      <c r="C33" s="2"/>
      <c r="D33" s="2"/>
      <c r="E33" s="2"/>
      <c r="F33" s="2"/>
    </row>
    <row r="34" spans="1:6" x14ac:dyDescent="0.35">
      <c r="A34" s="2"/>
      <c r="B34" s="2"/>
      <c r="C34" s="2"/>
      <c r="D34" s="2"/>
      <c r="E34" s="2"/>
      <c r="F34" s="2"/>
    </row>
    <row r="35" spans="1:6" x14ac:dyDescent="0.35">
      <c r="A35" s="3" t="s">
        <v>29</v>
      </c>
      <c r="B35" s="2"/>
      <c r="C35" s="2"/>
      <c r="D35" s="2"/>
      <c r="E35" s="2"/>
      <c r="F35" s="2"/>
    </row>
    <row r="36" spans="1:6" x14ac:dyDescent="0.35">
      <c r="A36" s="3" t="s">
        <v>30</v>
      </c>
      <c r="B36" s="2">
        <v>0.29480000000000001</v>
      </c>
      <c r="C36" s="2"/>
      <c r="D36" s="2"/>
      <c r="E36" s="2"/>
      <c r="F36" s="2"/>
    </row>
    <row r="37" spans="1:6" x14ac:dyDescent="0.35">
      <c r="A37" s="3" t="s">
        <v>31</v>
      </c>
      <c r="B37" s="2">
        <v>0</v>
      </c>
      <c r="C37" s="2"/>
      <c r="D37" s="2"/>
      <c r="E37" s="2"/>
      <c r="F37" s="2"/>
    </row>
    <row r="38" spans="1:6" x14ac:dyDescent="0.35">
      <c r="A38" s="3" t="s">
        <v>32</v>
      </c>
      <c r="B38" s="2">
        <v>1.04E-2</v>
      </c>
      <c r="C38" s="2"/>
      <c r="D38" s="2"/>
      <c r="E38" s="2"/>
      <c r="F38" s="2"/>
    </row>
    <row r="39" spans="1:6" x14ac:dyDescent="0.35">
      <c r="A39" s="3" t="s">
        <v>33</v>
      </c>
      <c r="B39" s="2">
        <v>5.7999999999999996E-3</v>
      </c>
      <c r="C39" s="2"/>
      <c r="D39" s="2"/>
      <c r="E39" s="2"/>
      <c r="F39" s="2"/>
    </row>
    <row r="40" spans="1:6" x14ac:dyDescent="0.35">
      <c r="A40" s="3" t="s">
        <v>34</v>
      </c>
      <c r="B40" s="2">
        <v>-2372.8222000000001</v>
      </c>
      <c r="C40" s="2"/>
      <c r="D40" s="2"/>
      <c r="E40" s="2"/>
      <c r="F40" s="2"/>
    </row>
    <row r="41" spans="1:6" x14ac:dyDescent="0.35">
      <c r="A41" s="3" t="s">
        <v>35</v>
      </c>
      <c r="B41" s="2">
        <v>1185.6177</v>
      </c>
      <c r="C41" s="2"/>
      <c r="D41" s="2"/>
      <c r="E41" s="2"/>
      <c r="F41" s="2"/>
    </row>
    <row r="42" spans="1:6" x14ac:dyDescent="0.35">
      <c r="A42" s="3" t="s">
        <v>36</v>
      </c>
      <c r="B42" s="2">
        <v>4745.6442999999999</v>
      </c>
      <c r="C42" s="2"/>
      <c r="D42" s="2"/>
      <c r="E42" s="2"/>
      <c r="F42" s="2"/>
    </row>
    <row r="43" spans="1:6" x14ac:dyDescent="0.35">
      <c r="A43" s="3" t="s">
        <v>37</v>
      </c>
      <c r="B43" s="2">
        <v>4850.8127000000004</v>
      </c>
      <c r="C43" s="2"/>
      <c r="D43" s="2"/>
      <c r="E43" s="2"/>
      <c r="F43" s="2"/>
    </row>
    <row r="44" spans="1:6" x14ac:dyDescent="0.35">
      <c r="A44" s="3" t="s">
        <v>38</v>
      </c>
      <c r="B44" s="2">
        <v>4789.2285000000002</v>
      </c>
      <c r="C44" s="2"/>
      <c r="D44" s="2"/>
      <c r="E44" s="2"/>
      <c r="F44" s="2"/>
    </row>
    <row r="45" spans="1:6" x14ac:dyDescent="0.35">
      <c r="A45" s="3"/>
      <c r="B45" s="2"/>
      <c r="C45" s="2"/>
      <c r="D45" s="2"/>
      <c r="E45" s="2"/>
      <c r="F45" s="2"/>
    </row>
    <row r="46" spans="1:6" x14ac:dyDescent="0.3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3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35">
      <c r="A48" s="3" t="s">
        <v>42</v>
      </c>
      <c r="B48" s="2">
        <v>1006.9573</v>
      </c>
      <c r="C48" s="2">
        <v>0</v>
      </c>
      <c r="D48" s="2">
        <v>0</v>
      </c>
      <c r="E48" s="2">
        <v>0</v>
      </c>
      <c r="F48" s="2">
        <v>1006.9573</v>
      </c>
    </row>
    <row r="49" spans="1:6" x14ac:dyDescent="0.35">
      <c r="A49" s="3" t="s">
        <v>43</v>
      </c>
      <c r="B49" s="2">
        <v>198.9836</v>
      </c>
      <c r="C49" s="2">
        <v>0</v>
      </c>
      <c r="D49" s="2">
        <v>0</v>
      </c>
      <c r="E49" s="2">
        <v>0</v>
      </c>
      <c r="F49" s="2">
        <v>198.9836</v>
      </c>
    </row>
    <row r="50" spans="1:6" x14ac:dyDescent="0.35">
      <c r="A50" s="3" t="s">
        <v>44</v>
      </c>
      <c r="B50" s="2">
        <v>212.04409999999999</v>
      </c>
      <c r="C50" s="2">
        <v>0</v>
      </c>
      <c r="D50" s="2">
        <v>0</v>
      </c>
      <c r="E50" s="2">
        <v>0</v>
      </c>
      <c r="F50" s="2">
        <v>212.04409999999999</v>
      </c>
    </row>
    <row r="51" spans="1:6" x14ac:dyDescent="0.35">
      <c r="A51" s="3" t="s">
        <v>45</v>
      </c>
      <c r="B51" s="2">
        <v>10.014900000000001</v>
      </c>
      <c r="C51" s="2">
        <v>0</v>
      </c>
      <c r="D51" s="2">
        <v>0</v>
      </c>
      <c r="E51" s="2">
        <v>0</v>
      </c>
      <c r="F51" s="2">
        <v>10.014900000000001</v>
      </c>
    </row>
    <row r="52" spans="1:6" x14ac:dyDescent="0.35">
      <c r="A52" s="3" t="s">
        <v>46</v>
      </c>
      <c r="B52" s="2">
        <v>1428</v>
      </c>
      <c r="C52" s="2">
        <v>0</v>
      </c>
      <c r="D52" s="2">
        <v>0</v>
      </c>
      <c r="E52" s="2">
        <v>0</v>
      </c>
      <c r="F52" s="2">
        <v>1428</v>
      </c>
    </row>
    <row r="53" spans="1:6" x14ac:dyDescent="0.35">
      <c r="A53" s="3"/>
      <c r="B53" s="2"/>
      <c r="C53" s="2"/>
      <c r="D53" s="2"/>
      <c r="E53" s="2"/>
      <c r="F53" s="2"/>
    </row>
    <row r="54" spans="1:6" x14ac:dyDescent="0.3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3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35">
      <c r="A56" s="3" t="s">
        <v>42</v>
      </c>
      <c r="B56" s="2">
        <v>712.58209999999997</v>
      </c>
      <c r="C56" s="2">
        <v>139.88560000000001</v>
      </c>
      <c r="D56" s="2">
        <v>147.82919999999999</v>
      </c>
      <c r="E56" s="2">
        <v>6.6604000000000001</v>
      </c>
      <c r="F56" s="2">
        <v>1006.9573</v>
      </c>
    </row>
    <row r="57" spans="1:6" x14ac:dyDescent="0.35">
      <c r="A57" s="3" t="s">
        <v>43</v>
      </c>
      <c r="B57" s="2">
        <v>139.88560000000001</v>
      </c>
      <c r="C57" s="2">
        <v>27.799900000000001</v>
      </c>
      <c r="D57" s="2">
        <v>29.834499999999998</v>
      </c>
      <c r="E57" s="2">
        <v>1.4637</v>
      </c>
      <c r="F57" s="2">
        <v>198.9836</v>
      </c>
    </row>
    <row r="58" spans="1:6" x14ac:dyDescent="0.35">
      <c r="A58" s="3" t="s">
        <v>44</v>
      </c>
      <c r="B58" s="2">
        <v>147.82919999999999</v>
      </c>
      <c r="C58" s="2">
        <v>29.834499999999998</v>
      </c>
      <c r="D58" s="2">
        <v>32.623699999999999</v>
      </c>
      <c r="E58" s="2">
        <v>1.7566999999999999</v>
      </c>
      <c r="F58" s="2">
        <v>212.04409999999999</v>
      </c>
    </row>
    <row r="59" spans="1:6" x14ac:dyDescent="0.35">
      <c r="A59" s="3" t="s">
        <v>45</v>
      </c>
      <c r="B59" s="2">
        <v>6.6604000000000001</v>
      </c>
      <c r="C59" s="2">
        <v>1.4637</v>
      </c>
      <c r="D59" s="2">
        <v>1.7566999999999999</v>
      </c>
      <c r="E59" s="2">
        <v>0.1341</v>
      </c>
      <c r="F59" s="2">
        <v>10.014900000000001</v>
      </c>
    </row>
    <row r="60" spans="1:6" x14ac:dyDescent="0.35">
      <c r="A60" s="3" t="s">
        <v>46</v>
      </c>
      <c r="B60" s="2">
        <v>1006.9573</v>
      </c>
      <c r="C60" s="2">
        <v>198.9836</v>
      </c>
      <c r="D60" s="2">
        <v>212.04409999999999</v>
      </c>
      <c r="E60" s="2">
        <v>10.014900000000001</v>
      </c>
      <c r="F60" s="2">
        <v>1428</v>
      </c>
    </row>
    <row r="61" spans="1:6" x14ac:dyDescent="0.35">
      <c r="A61" s="2"/>
      <c r="B61" s="2"/>
      <c r="C61" s="2"/>
      <c r="D61" s="2"/>
      <c r="E61" s="2"/>
      <c r="F61" s="2"/>
    </row>
    <row r="62" spans="1:6" x14ac:dyDescent="0.35">
      <c r="A62" s="3" t="s">
        <v>48</v>
      </c>
      <c r="B62" s="2"/>
      <c r="C62" s="2"/>
      <c r="D62" s="2"/>
      <c r="E62" s="2"/>
      <c r="F62" s="2"/>
    </row>
    <row r="63" spans="1:6" x14ac:dyDescent="0.35">
      <c r="A63" s="3" t="s">
        <v>30</v>
      </c>
      <c r="B63" s="2">
        <v>0.29480000000000001</v>
      </c>
      <c r="C63" s="2"/>
      <c r="D63" s="2"/>
      <c r="E63" s="2"/>
      <c r="F63" s="2"/>
    </row>
    <row r="64" spans="1:6" x14ac:dyDescent="0.35">
      <c r="A64" s="3" t="s">
        <v>31</v>
      </c>
      <c r="B64" s="2">
        <v>0</v>
      </c>
      <c r="C64" s="2"/>
      <c r="D64" s="2"/>
      <c r="E64" s="2"/>
      <c r="F64" s="2"/>
    </row>
    <row r="65" spans="1:6" x14ac:dyDescent="0.35">
      <c r="A65" s="3" t="s">
        <v>32</v>
      </c>
      <c r="B65" s="2">
        <v>1.04E-2</v>
      </c>
      <c r="C65" s="2"/>
      <c r="D65" s="2"/>
      <c r="E65" s="2"/>
      <c r="F65" s="2"/>
    </row>
    <row r="66" spans="1:6" x14ac:dyDescent="0.35">
      <c r="A66" s="3" t="s">
        <v>33</v>
      </c>
      <c r="B66" s="2">
        <v>5.7999999999999996E-3</v>
      </c>
      <c r="C66" s="2"/>
      <c r="D66" s="2"/>
      <c r="E66" s="2"/>
      <c r="F66" s="2"/>
    </row>
    <row r="67" spans="1:6" x14ac:dyDescent="0.35">
      <c r="A67" s="2"/>
      <c r="B67" s="2"/>
      <c r="C67" s="2"/>
      <c r="D67" s="2"/>
      <c r="E67" s="2"/>
      <c r="F67" s="2"/>
    </row>
    <row r="68" spans="1:6" x14ac:dyDescent="0.35">
      <c r="A68" s="3" t="s">
        <v>49</v>
      </c>
      <c r="B68" s="2"/>
      <c r="C68" s="2"/>
      <c r="D68" s="2"/>
      <c r="E68" s="2"/>
      <c r="F68" s="2"/>
    </row>
    <row r="69" spans="1:6" x14ac:dyDescent="0.35">
      <c r="A69" s="3" t="s">
        <v>50</v>
      </c>
      <c r="B69" s="23" t="s">
        <v>183</v>
      </c>
      <c r="C69" s="24"/>
      <c r="D69" s="24"/>
      <c r="E69" s="24"/>
      <c r="F69" s="25"/>
    </row>
    <row r="70" spans="1:6" x14ac:dyDescent="0.35">
      <c r="A70" s="2"/>
      <c r="B70" s="2"/>
      <c r="C70" s="2"/>
      <c r="D70" s="2"/>
      <c r="E70" s="2"/>
      <c r="F70" s="2"/>
    </row>
    <row r="71" spans="1:6" x14ac:dyDescent="0.35">
      <c r="A71" s="3" t="s">
        <v>52</v>
      </c>
      <c r="B71" s="2"/>
      <c r="C71" s="2"/>
      <c r="D71" s="2"/>
      <c r="E71" s="2"/>
      <c r="F71" s="2"/>
    </row>
    <row r="72" spans="1:6" x14ac:dyDescent="0.35">
      <c r="A72" s="3" t="s">
        <v>53</v>
      </c>
      <c r="B72" s="2">
        <v>4</v>
      </c>
      <c r="C72" s="2"/>
      <c r="D72" s="2"/>
      <c r="E72" s="2"/>
      <c r="F72" s="2"/>
    </row>
    <row r="73" spans="1:6" x14ac:dyDescent="0.35">
      <c r="A73" s="3" t="s">
        <v>54</v>
      </c>
      <c r="B73" s="2"/>
      <c r="C73" s="2"/>
      <c r="D73" s="2"/>
      <c r="E73" s="2"/>
      <c r="F73" s="2"/>
    </row>
    <row r="74" spans="1:6" x14ac:dyDescent="0.35">
      <c r="A74" s="3" t="s">
        <v>55</v>
      </c>
      <c r="B74" s="4">
        <v>1E-8</v>
      </c>
      <c r="C74" s="2"/>
      <c r="D74" s="2"/>
      <c r="E74" s="2"/>
      <c r="F74" s="2"/>
    </row>
    <row r="75" spans="1:6" x14ac:dyDescent="0.35">
      <c r="A75" s="3" t="s">
        <v>56</v>
      </c>
      <c r="B75" s="2">
        <v>0.01</v>
      </c>
      <c r="C75" s="2"/>
      <c r="D75" s="2"/>
      <c r="E75" s="2"/>
      <c r="F75" s="2"/>
    </row>
    <row r="76" spans="1:6" x14ac:dyDescent="0.35">
      <c r="A76" s="3" t="s">
        <v>57</v>
      </c>
      <c r="B76" s="2">
        <v>250</v>
      </c>
      <c r="C76" s="2"/>
      <c r="D76" s="2"/>
      <c r="E76" s="2"/>
      <c r="F76" s="2"/>
    </row>
    <row r="77" spans="1:6" x14ac:dyDescent="0.35">
      <c r="A77" s="3" t="s">
        <v>58</v>
      </c>
      <c r="B77" s="2">
        <v>50</v>
      </c>
      <c r="C77" s="2"/>
      <c r="D77" s="2"/>
      <c r="E77" s="2"/>
      <c r="F77" s="2"/>
    </row>
    <row r="78" spans="1:6" x14ac:dyDescent="0.35">
      <c r="A78" s="3" t="s">
        <v>59</v>
      </c>
      <c r="B78" s="2"/>
      <c r="C78" s="2"/>
      <c r="D78" s="2"/>
      <c r="E78" s="2"/>
      <c r="F78" s="2"/>
    </row>
    <row r="79" spans="1:6" x14ac:dyDescent="0.35">
      <c r="A79" s="3" t="s">
        <v>60</v>
      </c>
      <c r="B79" s="2">
        <v>55408</v>
      </c>
      <c r="C79" s="2"/>
      <c r="D79" s="2"/>
      <c r="E79" s="2"/>
      <c r="F79" s="2"/>
    </row>
    <row r="80" spans="1:6" x14ac:dyDescent="0.35">
      <c r="A80" s="3" t="s">
        <v>61</v>
      </c>
      <c r="B80" s="2">
        <v>0</v>
      </c>
      <c r="C80" s="2"/>
      <c r="D80" s="2"/>
      <c r="E80" s="2"/>
      <c r="F80" s="2"/>
    </row>
    <row r="81" spans="1:6" x14ac:dyDescent="0.3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35">
      <c r="A82" s="3" t="s">
        <v>62</v>
      </c>
      <c r="B82" s="2">
        <v>150</v>
      </c>
      <c r="C82" s="2"/>
      <c r="D82" s="2"/>
      <c r="E82" s="2"/>
      <c r="F82" s="2"/>
    </row>
    <row r="83" spans="1:6" x14ac:dyDescent="0.35">
      <c r="A83" s="3" t="s">
        <v>63</v>
      </c>
      <c r="B83" s="2"/>
      <c r="C83" s="2"/>
      <c r="D83" s="2"/>
      <c r="E83" s="2"/>
      <c r="F83" s="2"/>
    </row>
    <row r="84" spans="1:6" x14ac:dyDescent="0.35">
      <c r="A84" s="3" t="s">
        <v>64</v>
      </c>
      <c r="B84" s="2">
        <v>1</v>
      </c>
      <c r="C84" s="2"/>
      <c r="D84" s="2"/>
      <c r="E84" s="2"/>
      <c r="F84" s="2"/>
    </row>
    <row r="85" spans="1:6" x14ac:dyDescent="0.35">
      <c r="A85" s="3" t="s">
        <v>65</v>
      </c>
      <c r="B85" s="2">
        <v>1</v>
      </c>
      <c r="C85" s="2"/>
      <c r="D85" s="2"/>
      <c r="E85" s="2"/>
      <c r="F85" s="2"/>
    </row>
    <row r="86" spans="1:6" x14ac:dyDescent="0.35">
      <c r="A86" s="3" t="s">
        <v>66</v>
      </c>
      <c r="B86" s="2">
        <v>0</v>
      </c>
      <c r="C86" s="2"/>
      <c r="D86" s="2"/>
      <c r="E86" s="2"/>
      <c r="F86" s="2"/>
    </row>
    <row r="87" spans="1:6" x14ac:dyDescent="0.35">
      <c r="A87" s="3" t="s">
        <v>67</v>
      </c>
      <c r="B87" s="2">
        <v>1</v>
      </c>
      <c r="C87" s="2"/>
      <c r="D87" s="2"/>
      <c r="E87" s="2"/>
      <c r="F87" s="2"/>
    </row>
    <row r="88" spans="1:6" x14ac:dyDescent="0.35">
      <c r="A88" s="3" t="s">
        <v>68</v>
      </c>
      <c r="B88" s="2"/>
      <c r="C88" s="2"/>
      <c r="D88" s="2"/>
      <c r="E88" s="2"/>
      <c r="F88" s="2"/>
    </row>
    <row r="89" spans="1:6" x14ac:dyDescent="0.35">
      <c r="A89" s="3" t="s">
        <v>69</v>
      </c>
      <c r="B89" s="2">
        <v>10</v>
      </c>
      <c r="C89" s="2"/>
      <c r="D89" s="2"/>
      <c r="E89" s="2"/>
      <c r="F89" s="2"/>
    </row>
    <row r="90" spans="1:6" x14ac:dyDescent="0.3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35">
      <c r="A91" s="3" t="s">
        <v>72</v>
      </c>
      <c r="B91" s="2"/>
      <c r="C91" s="2"/>
      <c r="D91" s="2"/>
      <c r="E91" s="2"/>
      <c r="F91" s="2"/>
    </row>
    <row r="92" spans="1:6" x14ac:dyDescent="0.3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3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3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35">
      <c r="A95" s="3" t="s">
        <v>79</v>
      </c>
      <c r="B95" s="2"/>
      <c r="C95" s="2"/>
      <c r="D95" s="2"/>
      <c r="E95" s="2"/>
      <c r="F95" s="2"/>
    </row>
    <row r="96" spans="1:6" x14ac:dyDescent="0.3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3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35">
      <c r="A98" s="3" t="s">
        <v>84</v>
      </c>
      <c r="B98" s="2">
        <v>1428</v>
      </c>
      <c r="C98" s="2"/>
      <c r="D98" s="2"/>
      <c r="E98" s="2"/>
      <c r="F98" s="2"/>
    </row>
    <row r="99" spans="1:6" x14ac:dyDescent="0.3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35">
      <c r="A100" s="2"/>
      <c r="B100" s="2"/>
      <c r="C100" s="2"/>
      <c r="D100" s="2"/>
      <c r="E100" s="2"/>
      <c r="F100" s="2"/>
    </row>
    <row r="101" spans="1:6" x14ac:dyDescent="0.35">
      <c r="A101" s="3" t="s">
        <v>86</v>
      </c>
      <c r="B101" s="2"/>
      <c r="C101" s="2"/>
      <c r="D101" s="2"/>
      <c r="E101" s="2"/>
      <c r="F101" s="2"/>
    </row>
    <row r="102" spans="1:6" x14ac:dyDescent="0.35">
      <c r="A102" s="3" t="s">
        <v>87</v>
      </c>
      <c r="B102" s="2"/>
      <c r="C102" s="2"/>
      <c r="D102" s="2"/>
      <c r="E102" s="2"/>
      <c r="F102" s="2"/>
    </row>
    <row r="103" spans="1:6" x14ac:dyDescent="0.35">
      <c r="A103" s="3" t="s">
        <v>88</v>
      </c>
      <c r="B103" s="2"/>
      <c r="C103" s="2">
        <v>167</v>
      </c>
      <c r="D103" s="2"/>
      <c r="E103" s="2"/>
      <c r="F103" s="2"/>
    </row>
    <row r="104" spans="1:6" x14ac:dyDescent="0.35">
      <c r="A104" s="5">
        <v>5.9550000000000001E-8</v>
      </c>
      <c r="B104" s="4">
        <v>5.9548065000000002E-8</v>
      </c>
      <c r="C104" s="2"/>
      <c r="D104" s="2"/>
      <c r="E104" s="2"/>
      <c r="F104" s="2"/>
    </row>
    <row r="105" spans="1:6" x14ac:dyDescent="0.35">
      <c r="A105" s="5">
        <v>6.0090000000000004E-7</v>
      </c>
      <c r="B105" s="4">
        <v>6.0093007999999999E-7</v>
      </c>
      <c r="C105" s="2"/>
      <c r="D105" s="2"/>
      <c r="E105" s="2"/>
      <c r="F105" s="2"/>
    </row>
    <row r="106" spans="1:6" x14ac:dyDescent="0.35">
      <c r="A106" s="5">
        <v>3.303E-6</v>
      </c>
      <c r="B106" s="4">
        <v>3.3031305999999998E-6</v>
      </c>
      <c r="C106" s="2"/>
      <c r="D106" s="2"/>
      <c r="E106" s="2"/>
      <c r="F106" s="2"/>
    </row>
    <row r="107" spans="1:6" x14ac:dyDescent="0.35">
      <c r="A107" s="5">
        <v>6.562E-6</v>
      </c>
      <c r="B107" s="4">
        <v>6.5618994000000002E-6</v>
      </c>
      <c r="C107" s="2"/>
      <c r="D107" s="2"/>
      <c r="E107" s="2"/>
      <c r="F107" s="2"/>
    </row>
    <row r="108" spans="1:6" x14ac:dyDescent="0.35">
      <c r="A108" s="3" t="s">
        <v>89</v>
      </c>
      <c r="B108" s="2"/>
      <c r="C108" s="2"/>
      <c r="D108" s="2"/>
      <c r="E108" s="2"/>
      <c r="F108" s="2"/>
    </row>
    <row r="109" spans="1:6" x14ac:dyDescent="0.35">
      <c r="A109" s="3">
        <v>0.99970000000000003</v>
      </c>
      <c r="B109" s="2">
        <v>0.99966297999999998</v>
      </c>
      <c r="C109" s="2"/>
      <c r="D109" s="2"/>
      <c r="E109" s="2"/>
      <c r="F109" s="2"/>
    </row>
    <row r="110" spans="1:6" x14ac:dyDescent="0.35">
      <c r="A110" s="3">
        <v>0.99970000000000003</v>
      </c>
      <c r="B110" s="2">
        <v>0.99974249999999998</v>
      </c>
      <c r="C110" s="2"/>
      <c r="D110" s="2"/>
      <c r="E110" s="2"/>
      <c r="F110" s="2"/>
    </row>
    <row r="111" spans="1:6" x14ac:dyDescent="0.35">
      <c r="A111" s="3">
        <v>0.99970000000000003</v>
      </c>
      <c r="B111" s="2">
        <v>0.99974262999999997</v>
      </c>
      <c r="C111" s="2"/>
      <c r="D111" s="2"/>
      <c r="E111" s="2"/>
      <c r="F111" s="2"/>
    </row>
    <row r="112" spans="1:6" x14ac:dyDescent="0.35">
      <c r="A112" s="3" t="s">
        <v>90</v>
      </c>
      <c r="B112" s="2"/>
      <c r="C112" s="2">
        <v>167</v>
      </c>
      <c r="D112" s="2"/>
      <c r="E112" s="2"/>
      <c r="F112" s="2"/>
    </row>
    <row r="113" spans="1:6" x14ac:dyDescent="0.35">
      <c r="A113" s="5">
        <v>1.164E-8</v>
      </c>
      <c r="B113" s="4">
        <v>1.1639567E-8</v>
      </c>
      <c r="C113" s="2"/>
      <c r="D113" s="2"/>
      <c r="E113" s="2"/>
      <c r="F113" s="2"/>
    </row>
    <row r="114" spans="1:6" x14ac:dyDescent="0.35">
      <c r="A114" s="5">
        <v>2.6980000000000001E-8</v>
      </c>
      <c r="B114" s="4">
        <v>2.6977233999999999E-8</v>
      </c>
      <c r="C114" s="2"/>
      <c r="D114" s="2"/>
      <c r="E114" s="2"/>
      <c r="F114" s="2"/>
    </row>
    <row r="115" spans="1:6" x14ac:dyDescent="0.35">
      <c r="A115" s="5">
        <v>4.8909999999999999E-8</v>
      </c>
      <c r="B115" s="4">
        <v>4.8911829000000003E-8</v>
      </c>
      <c r="C115" s="2"/>
      <c r="D115" s="2"/>
      <c r="E115" s="2"/>
      <c r="F115" s="2"/>
    </row>
    <row r="116" spans="1:6" x14ac:dyDescent="0.35">
      <c r="A116" s="5">
        <v>5.4289999999999998E-8</v>
      </c>
      <c r="B116" s="4">
        <v>5.4294226000000002E-8</v>
      </c>
      <c r="C116" s="2"/>
      <c r="D116" s="2"/>
      <c r="E116" s="2"/>
      <c r="F116" s="2"/>
    </row>
    <row r="117" spans="1:6" x14ac:dyDescent="0.35">
      <c r="A117" s="3" t="s">
        <v>89</v>
      </c>
      <c r="B117" s="2"/>
      <c r="C117" s="2"/>
      <c r="D117" s="2"/>
      <c r="E117" s="2"/>
      <c r="F117" s="2"/>
    </row>
    <row r="118" spans="1:6" x14ac:dyDescent="0.35">
      <c r="A118" s="3">
        <v>0.99990000000000001</v>
      </c>
      <c r="B118" s="2">
        <v>0.99989494000000001</v>
      </c>
      <c r="C118" s="2"/>
      <c r="D118" s="2"/>
      <c r="E118" s="2"/>
      <c r="F118" s="2"/>
    </row>
    <row r="119" spans="1:6" x14ac:dyDescent="0.35">
      <c r="A119" s="3">
        <v>1</v>
      </c>
      <c r="B119" s="2">
        <v>0.99999844000000004</v>
      </c>
      <c r="C119" s="2"/>
      <c r="D119" s="2"/>
      <c r="E119" s="2"/>
      <c r="F119" s="2"/>
    </row>
    <row r="120" spans="1:6" x14ac:dyDescent="0.35">
      <c r="A120" s="3">
        <v>1</v>
      </c>
      <c r="B120" s="2">
        <v>0.99999884000000006</v>
      </c>
      <c r="C120" s="2"/>
      <c r="D120" s="2"/>
      <c r="E120" s="2"/>
      <c r="F120" s="2"/>
    </row>
    <row r="121" spans="1:6" x14ac:dyDescent="0.35">
      <c r="A121" s="3" t="s">
        <v>91</v>
      </c>
      <c r="B121" s="2"/>
      <c r="C121" s="2">
        <v>167</v>
      </c>
      <c r="D121" s="2"/>
      <c r="E121" s="2"/>
      <c r="F121" s="2"/>
    </row>
    <row r="122" spans="1:6" x14ac:dyDescent="0.35">
      <c r="A122" s="5">
        <v>3.7510000000000003E-8</v>
      </c>
      <c r="B122" s="4">
        <v>3.7506973999999998E-8</v>
      </c>
      <c r="C122" s="2"/>
      <c r="D122" s="2"/>
      <c r="E122" s="2"/>
      <c r="F122" s="2"/>
    </row>
    <row r="123" spans="1:6" x14ac:dyDescent="0.35">
      <c r="A123" s="5">
        <v>9.3480000000000001E-8</v>
      </c>
      <c r="B123" s="4">
        <v>9.3483835000000002E-8</v>
      </c>
      <c r="C123" s="2"/>
      <c r="D123" s="2"/>
      <c r="E123" s="2"/>
      <c r="F123" s="2"/>
    </row>
    <row r="124" spans="1:6" x14ac:dyDescent="0.35">
      <c r="A124" s="5">
        <v>1.177E-7</v>
      </c>
      <c r="B124" s="4">
        <v>1.1773109000000001E-7</v>
      </c>
      <c r="C124" s="2"/>
      <c r="D124" s="2"/>
      <c r="E124" s="2"/>
      <c r="F124" s="2"/>
    </row>
    <row r="125" spans="1:6" x14ac:dyDescent="0.35">
      <c r="A125" s="5">
        <v>5.6250000000000001E-7</v>
      </c>
      <c r="B125" s="4">
        <v>5.6254262999999996E-7</v>
      </c>
      <c r="C125" s="2"/>
      <c r="D125" s="2"/>
      <c r="E125" s="2"/>
      <c r="F125" s="2"/>
    </row>
    <row r="126" spans="1:6" x14ac:dyDescent="0.35">
      <c r="A126" s="3" t="s">
        <v>89</v>
      </c>
      <c r="B126" s="2"/>
      <c r="C126" s="2"/>
      <c r="D126" s="2"/>
      <c r="E126" s="2"/>
      <c r="F126" s="2"/>
    </row>
    <row r="127" spans="1:6" x14ac:dyDescent="0.35">
      <c r="A127" s="3">
        <v>0.99939999999999996</v>
      </c>
      <c r="B127" s="2">
        <v>0.99935490000000005</v>
      </c>
      <c r="C127" s="2"/>
      <c r="D127" s="2"/>
      <c r="E127" s="2"/>
      <c r="F127" s="2"/>
    </row>
    <row r="128" spans="1:6" x14ac:dyDescent="0.35">
      <c r="A128" s="3">
        <v>0.99939999999999996</v>
      </c>
      <c r="B128" s="2">
        <v>0.99940028000000003</v>
      </c>
      <c r="C128" s="2"/>
      <c r="D128" s="2"/>
      <c r="E128" s="2"/>
      <c r="F128" s="2"/>
    </row>
    <row r="129" spans="1:6" x14ac:dyDescent="0.35">
      <c r="A129" s="3">
        <v>0.99970000000000003</v>
      </c>
      <c r="B129" s="2">
        <v>0.99974605999999999</v>
      </c>
      <c r="C129" s="2"/>
      <c r="D129" s="2"/>
      <c r="E129" s="2"/>
      <c r="F129" s="2"/>
    </row>
    <row r="130" spans="1:6" x14ac:dyDescent="0.35">
      <c r="A130" s="3" t="s">
        <v>92</v>
      </c>
      <c r="B130" s="2"/>
      <c r="C130" s="2">
        <v>167</v>
      </c>
      <c r="D130" s="2"/>
      <c r="E130" s="2"/>
      <c r="F130" s="2"/>
    </row>
    <row r="131" spans="1:6" x14ac:dyDescent="0.35">
      <c r="A131" s="5">
        <v>2.0040000000000001E-16</v>
      </c>
      <c r="B131" s="4">
        <v>2.0035406E-16</v>
      </c>
      <c r="C131" s="2"/>
      <c r="D131" s="2"/>
      <c r="E131" s="2"/>
      <c r="F131" s="2"/>
    </row>
    <row r="132" spans="1:6" x14ac:dyDescent="0.35">
      <c r="A132" s="5">
        <v>6.1509999999999998E-16</v>
      </c>
      <c r="B132" s="4">
        <v>6.1506278999999997E-16</v>
      </c>
      <c r="C132" s="2"/>
      <c r="D132" s="2"/>
      <c r="E132" s="2"/>
      <c r="F132" s="2"/>
    </row>
    <row r="133" spans="1:6" x14ac:dyDescent="0.35">
      <c r="A133" s="5">
        <v>9.6300000000000007E-16</v>
      </c>
      <c r="B133" s="4">
        <v>9.6302493999999992E-16</v>
      </c>
      <c r="C133" s="2"/>
      <c r="D133" s="2"/>
      <c r="E133" s="2"/>
      <c r="F133" s="2"/>
    </row>
    <row r="134" spans="1:6" x14ac:dyDescent="0.35">
      <c r="A134" s="5">
        <v>3.156E-15</v>
      </c>
      <c r="B134" s="4">
        <v>3.1558889999999999E-15</v>
      </c>
      <c r="C134" s="2"/>
      <c r="D134" s="2"/>
      <c r="E134" s="2"/>
      <c r="F134" s="2"/>
    </row>
    <row r="135" spans="1:6" x14ac:dyDescent="0.35">
      <c r="A135" s="3" t="s">
        <v>89</v>
      </c>
      <c r="B135" s="2"/>
      <c r="C135" s="2"/>
      <c r="D135" s="2"/>
      <c r="E135" s="2"/>
      <c r="F135" s="2"/>
    </row>
    <row r="136" spans="1:6" x14ac:dyDescent="0.35">
      <c r="A136" s="3">
        <v>0.1641</v>
      </c>
      <c r="B136" s="2">
        <v>0.16410371000000001</v>
      </c>
      <c r="C136" s="2"/>
      <c r="D136" s="2"/>
      <c r="E136" s="2"/>
      <c r="F136" s="2"/>
    </row>
    <row r="137" spans="1:6" x14ac:dyDescent="0.35">
      <c r="A137" s="3">
        <v>0.96709999999999996</v>
      </c>
      <c r="B137" s="2">
        <v>0.96714005000000003</v>
      </c>
      <c r="C137" s="2"/>
      <c r="D137" s="2"/>
      <c r="E137" s="2"/>
      <c r="F137" s="2"/>
    </row>
    <row r="138" spans="1:6" x14ac:dyDescent="0.35">
      <c r="A138" s="3">
        <v>0.99890000000000001</v>
      </c>
      <c r="B138" s="2">
        <v>0.99887678999999996</v>
      </c>
      <c r="C138" s="2"/>
      <c r="D138" s="2"/>
      <c r="E138" s="2"/>
      <c r="F138" s="2"/>
    </row>
    <row r="139" spans="1:6" x14ac:dyDescent="0.35">
      <c r="A139" s="3" t="s">
        <v>93</v>
      </c>
      <c r="B139" s="2"/>
      <c r="C139" s="2"/>
      <c r="D139" s="2"/>
      <c r="E139" s="2"/>
      <c r="F139" s="2"/>
    </row>
    <row r="140" spans="1:6" x14ac:dyDescent="0.35">
      <c r="A140" s="3" t="s">
        <v>150</v>
      </c>
      <c r="B140" s="2" t="s">
        <v>95</v>
      </c>
      <c r="C140" s="2">
        <v>2</v>
      </c>
      <c r="D140" s="2"/>
      <c r="E140" s="2"/>
      <c r="F140" s="2"/>
    </row>
    <row r="141" spans="1:6" x14ac:dyDescent="0.35">
      <c r="A141" s="3" t="s">
        <v>152</v>
      </c>
      <c r="B141" s="2" t="s">
        <v>152</v>
      </c>
      <c r="C141" s="2"/>
      <c r="D141" s="2"/>
      <c r="E141" s="2"/>
      <c r="F141" s="2"/>
    </row>
    <row r="142" spans="1:6" x14ac:dyDescent="0.35">
      <c r="A142" s="3" t="s">
        <v>156</v>
      </c>
      <c r="B142" s="2" t="s">
        <v>156</v>
      </c>
      <c r="C142" s="2"/>
      <c r="D142" s="2"/>
      <c r="E142" s="2"/>
      <c r="F142" s="2"/>
    </row>
    <row r="144" spans="1:6" ht="17.5" x14ac:dyDescent="0.35">
      <c r="A144" s="1" t="s">
        <v>102</v>
      </c>
    </row>
    <row r="146" spans="1:16" x14ac:dyDescent="0.35">
      <c r="A146" s="3" t="s">
        <v>103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35">
      <c r="A147" s="3" t="s">
        <v>104</v>
      </c>
      <c r="B147" s="3" t="s">
        <v>42</v>
      </c>
      <c r="C147" s="3" t="s">
        <v>105</v>
      </c>
      <c r="D147" s="3" t="s">
        <v>123</v>
      </c>
      <c r="E147" s="3" t="s">
        <v>43</v>
      </c>
      <c r="F147" s="3" t="s">
        <v>105</v>
      </c>
      <c r="G147" s="3" t="s">
        <v>123</v>
      </c>
      <c r="H147" s="3" t="s">
        <v>44</v>
      </c>
      <c r="I147" s="3" t="s">
        <v>105</v>
      </c>
      <c r="J147" s="3" t="s">
        <v>123</v>
      </c>
      <c r="K147" s="3" t="s">
        <v>45</v>
      </c>
      <c r="L147" s="3" t="s">
        <v>105</v>
      </c>
      <c r="M147" s="3" t="s">
        <v>123</v>
      </c>
      <c r="N147" s="3" t="s">
        <v>106</v>
      </c>
      <c r="O147" s="3" t="s">
        <v>9</v>
      </c>
      <c r="P147" s="2"/>
    </row>
    <row r="148" spans="1:16" x14ac:dyDescent="0.35">
      <c r="A148" s="3"/>
      <c r="B148" s="2">
        <v>6.0194999999999999</v>
      </c>
      <c r="C148" s="2">
        <v>0.29339999999999999</v>
      </c>
      <c r="D148" s="2">
        <v>20.515599999999999</v>
      </c>
      <c r="E148" s="2">
        <v>4.3933</v>
      </c>
      <c r="F148" s="2">
        <v>0.315</v>
      </c>
      <c r="G148" s="2">
        <v>13.9472</v>
      </c>
      <c r="H148" s="2">
        <v>4.4328000000000003</v>
      </c>
      <c r="I148" s="2">
        <v>0.307</v>
      </c>
      <c r="J148" s="2">
        <v>14.437799999999999</v>
      </c>
      <c r="K148" s="2">
        <v>-14.845599999999999</v>
      </c>
      <c r="L148" s="2">
        <v>0.80549999999999999</v>
      </c>
      <c r="M148" s="2">
        <v>-18.429300000000001</v>
      </c>
      <c r="N148" s="2">
        <v>422.09269999999998</v>
      </c>
      <c r="O148" s="4">
        <v>3.6E-91</v>
      </c>
      <c r="P148" s="2"/>
    </row>
    <row r="149" spans="1:16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35">
      <c r="A150" s="3" t="s">
        <v>107</v>
      </c>
      <c r="B150" s="3" t="s">
        <v>42</v>
      </c>
      <c r="C150" s="3" t="s">
        <v>105</v>
      </c>
      <c r="D150" s="3" t="s">
        <v>123</v>
      </c>
      <c r="E150" s="3" t="s">
        <v>43</v>
      </c>
      <c r="F150" s="3" t="s">
        <v>105</v>
      </c>
      <c r="G150" s="3" t="s">
        <v>123</v>
      </c>
      <c r="H150" s="3" t="s">
        <v>44</v>
      </c>
      <c r="I150" s="3" t="s">
        <v>105</v>
      </c>
      <c r="J150" s="3" t="s">
        <v>123</v>
      </c>
      <c r="K150" s="3" t="s">
        <v>45</v>
      </c>
      <c r="L150" s="3" t="s">
        <v>105</v>
      </c>
      <c r="M150" s="3" t="s">
        <v>123</v>
      </c>
      <c r="N150" s="3" t="s">
        <v>106</v>
      </c>
      <c r="O150" s="3" t="s">
        <v>9</v>
      </c>
      <c r="P150" s="2"/>
    </row>
    <row r="151" spans="1:16" x14ac:dyDescent="0.35">
      <c r="A151" s="3" t="s">
        <v>150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35">
      <c r="A152" s="3" t="s">
        <v>152</v>
      </c>
      <c r="B152" s="2">
        <v>-4.3312999999999997</v>
      </c>
      <c r="C152" s="2">
        <v>0.22259999999999999</v>
      </c>
      <c r="D152" s="2">
        <v>-19.453800000000001</v>
      </c>
      <c r="E152" s="2">
        <v>-4.2202999999999999</v>
      </c>
      <c r="F152" s="2">
        <v>0.29730000000000001</v>
      </c>
      <c r="G152" s="2">
        <v>-14.196099999999999</v>
      </c>
      <c r="H152" s="2">
        <v>-4.0773000000000001</v>
      </c>
      <c r="I152" s="2">
        <v>25205166.887400001</v>
      </c>
      <c r="J152" s="2">
        <v>0</v>
      </c>
      <c r="K152" s="2">
        <v>12.6288</v>
      </c>
      <c r="L152" s="2">
        <v>25205166.504799999</v>
      </c>
      <c r="M152" s="2">
        <v>0</v>
      </c>
      <c r="N152" s="2">
        <v>4109.5450000000001</v>
      </c>
      <c r="O152" s="4" t="s">
        <v>184</v>
      </c>
      <c r="P152" s="2"/>
    </row>
    <row r="153" spans="1:16" x14ac:dyDescent="0.35">
      <c r="A153" s="3" t="s">
        <v>156</v>
      </c>
      <c r="B153" s="2">
        <v>4.3312999999999997</v>
      </c>
      <c r="C153" s="2">
        <v>0.22259999999999999</v>
      </c>
      <c r="D153" s="2">
        <v>19.453800000000001</v>
      </c>
      <c r="E153" s="2">
        <v>4.2202999999999999</v>
      </c>
      <c r="F153" s="2">
        <v>0.29730000000000001</v>
      </c>
      <c r="G153" s="2">
        <v>14.196099999999999</v>
      </c>
      <c r="H153" s="2">
        <v>4.0773000000000001</v>
      </c>
      <c r="I153" s="2">
        <v>25205166.887400001</v>
      </c>
      <c r="J153" s="2">
        <v>0</v>
      </c>
      <c r="K153" s="2">
        <v>-12.6288</v>
      </c>
      <c r="L153" s="2">
        <v>25205166.504799999</v>
      </c>
      <c r="M153" s="2">
        <v>0</v>
      </c>
      <c r="N153" s="2"/>
      <c r="O153" s="2"/>
      <c r="P153" s="2"/>
    </row>
    <row r="154" spans="1:16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7.5" x14ac:dyDescent="0.35">
      <c r="A156" s="1" t="s">
        <v>108</v>
      </c>
    </row>
    <row r="158" spans="1:16" x14ac:dyDescent="0.35">
      <c r="A158" s="3" t="s">
        <v>103</v>
      </c>
      <c r="B158" s="3"/>
      <c r="C158" s="3"/>
      <c r="D158" s="3" t="s">
        <v>106</v>
      </c>
      <c r="E158" s="3" t="s">
        <v>109</v>
      </c>
      <c r="F158" s="3" t="s">
        <v>9</v>
      </c>
    </row>
    <row r="159" spans="1:16" x14ac:dyDescent="0.35">
      <c r="A159" s="3" t="s">
        <v>104</v>
      </c>
      <c r="B159" s="2"/>
      <c r="C159" s="2"/>
      <c r="D159" s="2"/>
      <c r="E159" s="2"/>
      <c r="F159" s="2"/>
    </row>
    <row r="160" spans="1:16" x14ac:dyDescent="0.35">
      <c r="A160" s="3" t="s">
        <v>110</v>
      </c>
      <c r="B160" s="3">
        <v>1</v>
      </c>
      <c r="C160" s="3">
        <v>2</v>
      </c>
      <c r="D160" s="2">
        <v>49.159700000000001</v>
      </c>
      <c r="E160" s="2">
        <v>1</v>
      </c>
      <c r="F160" s="4">
        <v>2.3999999999999999E-12</v>
      </c>
    </row>
    <row r="161" spans="1:9" x14ac:dyDescent="0.35">
      <c r="A161" s="3" t="s">
        <v>110</v>
      </c>
      <c r="B161" s="3">
        <v>1</v>
      </c>
      <c r="C161" s="3">
        <v>3</v>
      </c>
      <c r="D161" s="2">
        <v>50.787100000000002</v>
      </c>
      <c r="E161" s="2">
        <v>1</v>
      </c>
      <c r="F161" s="4">
        <v>9.9999999999999998E-13</v>
      </c>
    </row>
    <row r="162" spans="1:9" x14ac:dyDescent="0.35">
      <c r="A162" s="3" t="s">
        <v>110</v>
      </c>
      <c r="B162" s="3">
        <v>1</v>
      </c>
      <c r="C162" s="3">
        <v>4</v>
      </c>
      <c r="D162" s="2">
        <v>372.2654</v>
      </c>
      <c r="E162" s="2">
        <v>1</v>
      </c>
      <c r="F162" s="4">
        <v>6.0000000000000002E-83</v>
      </c>
    </row>
    <row r="163" spans="1:9" x14ac:dyDescent="0.35">
      <c r="A163" s="3" t="s">
        <v>110</v>
      </c>
      <c r="B163" s="3">
        <v>2</v>
      </c>
      <c r="C163" s="3">
        <v>3</v>
      </c>
      <c r="D163" s="2">
        <v>1.8100000000000002E-2</v>
      </c>
      <c r="E163" s="2">
        <v>1</v>
      </c>
      <c r="F163" s="2">
        <v>0.89</v>
      </c>
    </row>
    <row r="164" spans="1:9" x14ac:dyDescent="0.35">
      <c r="A164" s="3" t="s">
        <v>110</v>
      </c>
      <c r="B164" s="3">
        <v>2</v>
      </c>
      <c r="C164" s="3">
        <v>4</v>
      </c>
      <c r="D164" s="2">
        <v>312.32119999999998</v>
      </c>
      <c r="E164" s="2">
        <v>1</v>
      </c>
      <c r="F164" s="4">
        <v>6.7999999999999999E-70</v>
      </c>
    </row>
    <row r="165" spans="1:9" x14ac:dyDescent="0.35">
      <c r="A165" s="3" t="s">
        <v>110</v>
      </c>
      <c r="B165" s="3">
        <v>3</v>
      </c>
      <c r="C165" s="3">
        <v>4</v>
      </c>
      <c r="D165" s="2">
        <v>317.78890000000001</v>
      </c>
      <c r="E165" s="2">
        <v>1</v>
      </c>
      <c r="F165" s="4">
        <v>4.3999999999999999E-71</v>
      </c>
    </row>
    <row r="166" spans="1:9" x14ac:dyDescent="0.35">
      <c r="A166" s="3" t="s">
        <v>150</v>
      </c>
      <c r="B166" s="2"/>
      <c r="C166" s="2"/>
      <c r="D166" s="2"/>
      <c r="E166" s="2"/>
      <c r="F166" s="2"/>
    </row>
    <row r="167" spans="1:9" x14ac:dyDescent="0.35">
      <c r="A167" s="3" t="s">
        <v>110</v>
      </c>
      <c r="B167" s="3">
        <v>1</v>
      </c>
      <c r="C167" s="3">
        <v>2</v>
      </c>
      <c r="D167" s="2">
        <v>0.24590000000000001</v>
      </c>
      <c r="E167" s="2">
        <v>1</v>
      </c>
      <c r="F167" s="2">
        <v>0.62</v>
      </c>
    </row>
    <row r="168" spans="1:9" x14ac:dyDescent="0.35">
      <c r="A168" s="3" t="s">
        <v>110</v>
      </c>
      <c r="B168" s="3">
        <v>1</v>
      </c>
      <c r="C168" s="3">
        <v>3</v>
      </c>
      <c r="D168" s="2">
        <v>0</v>
      </c>
      <c r="E168" s="2">
        <v>1</v>
      </c>
      <c r="F168" s="2">
        <v>1</v>
      </c>
    </row>
    <row r="169" spans="1:9" x14ac:dyDescent="0.35">
      <c r="A169" s="3" t="s">
        <v>110</v>
      </c>
      <c r="B169" s="3">
        <v>1</v>
      </c>
      <c r="C169" s="3">
        <v>4</v>
      </c>
      <c r="D169" s="2">
        <v>0</v>
      </c>
      <c r="E169" s="2">
        <v>1</v>
      </c>
      <c r="F169" s="2">
        <v>1</v>
      </c>
    </row>
    <row r="170" spans="1:9" x14ac:dyDescent="0.35">
      <c r="A170" s="3" t="s">
        <v>110</v>
      </c>
      <c r="B170" s="3">
        <v>2</v>
      </c>
      <c r="C170" s="3">
        <v>3</v>
      </c>
      <c r="D170" s="2">
        <v>0</v>
      </c>
      <c r="E170" s="2">
        <v>1</v>
      </c>
      <c r="F170" s="2">
        <v>1</v>
      </c>
    </row>
    <row r="171" spans="1:9" x14ac:dyDescent="0.35">
      <c r="A171" s="3" t="s">
        <v>110</v>
      </c>
      <c r="B171" s="3">
        <v>2</v>
      </c>
      <c r="C171" s="3">
        <v>4</v>
      </c>
      <c r="D171" s="2">
        <v>0</v>
      </c>
      <c r="E171" s="2">
        <v>1</v>
      </c>
      <c r="F171" s="2">
        <v>1</v>
      </c>
    </row>
    <row r="172" spans="1:9" x14ac:dyDescent="0.35">
      <c r="A172" s="3" t="s">
        <v>110</v>
      </c>
      <c r="B172" s="3">
        <v>3</v>
      </c>
      <c r="C172" s="3">
        <v>4</v>
      </c>
      <c r="D172" s="2">
        <v>0</v>
      </c>
      <c r="E172" s="2">
        <v>1</v>
      </c>
      <c r="F172" s="2">
        <v>1</v>
      </c>
    </row>
    <row r="174" spans="1:9" ht="17.5" x14ac:dyDescent="0.35">
      <c r="A174" s="1" t="s">
        <v>111</v>
      </c>
    </row>
    <row r="176" spans="1:9" x14ac:dyDescent="0.35">
      <c r="A176" s="2"/>
      <c r="B176" s="3" t="s">
        <v>42</v>
      </c>
      <c r="C176" s="3" t="s">
        <v>105</v>
      </c>
      <c r="D176" s="3" t="s">
        <v>43</v>
      </c>
      <c r="E176" s="3" t="s">
        <v>105</v>
      </c>
      <c r="F176" s="3" t="s">
        <v>44</v>
      </c>
      <c r="G176" s="3" t="s">
        <v>105</v>
      </c>
      <c r="H176" s="3" t="s">
        <v>45</v>
      </c>
      <c r="I176" s="3" t="s">
        <v>105</v>
      </c>
    </row>
    <row r="177" spans="1:9" x14ac:dyDescent="0.35">
      <c r="A177" s="3" t="s">
        <v>112</v>
      </c>
      <c r="B177" s="2">
        <v>0.70520000000000005</v>
      </c>
      <c r="C177" s="2">
        <v>352276.84370000003</v>
      </c>
      <c r="D177" s="2">
        <v>0.13930000000000001</v>
      </c>
      <c r="E177" s="2">
        <v>124213.27619999999</v>
      </c>
      <c r="F177" s="2">
        <v>0.14849999999999999</v>
      </c>
      <c r="G177" s="2">
        <v>681899.78859999997</v>
      </c>
      <c r="H177" s="2">
        <v>7.0000000000000001E-3</v>
      </c>
      <c r="I177" s="2">
        <v>205409.66880000001</v>
      </c>
    </row>
    <row r="178" spans="1:9" x14ac:dyDescent="0.35">
      <c r="A178" s="3" t="s">
        <v>107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35">
      <c r="A179" s="3" t="s">
        <v>150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35">
      <c r="A180" s="3" t="s">
        <v>152</v>
      </c>
      <c r="B180" s="2">
        <v>0.49380000000000002</v>
      </c>
      <c r="C180" s="2" t="s">
        <v>11</v>
      </c>
      <c r="D180" s="2">
        <v>0.54920000000000002</v>
      </c>
      <c r="E180" s="2" t="s">
        <v>11</v>
      </c>
      <c r="F180" s="2">
        <v>0.61850000000000005</v>
      </c>
      <c r="G180" s="2" t="s">
        <v>11</v>
      </c>
      <c r="H180" s="2">
        <v>1</v>
      </c>
      <c r="I180" s="2" t="s">
        <v>11</v>
      </c>
    </row>
    <row r="181" spans="1:9" x14ac:dyDescent="0.35">
      <c r="A181" s="3" t="s">
        <v>156</v>
      </c>
      <c r="B181" s="2">
        <v>0.50619999999999998</v>
      </c>
      <c r="C181" s="2" t="s">
        <v>11</v>
      </c>
      <c r="D181" s="2">
        <v>0.45079999999999998</v>
      </c>
      <c r="E181" s="2" t="s">
        <v>11</v>
      </c>
      <c r="F181" s="2">
        <v>0.38150000000000001</v>
      </c>
      <c r="G181" s="2" t="s">
        <v>11</v>
      </c>
      <c r="H181" s="2">
        <v>0</v>
      </c>
      <c r="I181" s="2" t="s">
        <v>11</v>
      </c>
    </row>
    <row r="183" spans="1:9" ht="17.5" x14ac:dyDescent="0.35">
      <c r="A183" s="1" t="s">
        <v>113</v>
      </c>
    </row>
    <row r="185" spans="1:9" x14ac:dyDescent="0.3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35">
      <c r="A186" s="3" t="s">
        <v>114</v>
      </c>
      <c r="B186" s="2">
        <v>0.70520000000000005</v>
      </c>
      <c r="C186" s="2">
        <v>0.13930000000000001</v>
      </c>
      <c r="D186" s="2">
        <v>0.14849999999999999</v>
      </c>
      <c r="E186" s="2">
        <v>7.0000000000000001E-3</v>
      </c>
    </row>
    <row r="187" spans="1:9" x14ac:dyDescent="0.35">
      <c r="A187" s="3" t="s">
        <v>107</v>
      </c>
      <c r="B187" s="2"/>
      <c r="C187" s="2"/>
      <c r="D187" s="2"/>
      <c r="E187" s="2"/>
    </row>
    <row r="188" spans="1:9" x14ac:dyDescent="0.35">
      <c r="A188" s="3" t="s">
        <v>150</v>
      </c>
      <c r="B188" s="2"/>
      <c r="C188" s="2"/>
      <c r="D188" s="2"/>
      <c r="E188" s="2"/>
    </row>
    <row r="189" spans="1:9" x14ac:dyDescent="0.35">
      <c r="A189" s="3" t="s">
        <v>152</v>
      </c>
      <c r="B189" s="2">
        <v>0.66510000000000002</v>
      </c>
      <c r="C189" s="2">
        <v>0.14610000000000001</v>
      </c>
      <c r="D189" s="2">
        <v>0.1754</v>
      </c>
      <c r="E189" s="2">
        <v>1.34E-2</v>
      </c>
    </row>
    <row r="190" spans="1:9" x14ac:dyDescent="0.35">
      <c r="A190" s="3" t="s">
        <v>156</v>
      </c>
      <c r="B190" s="2">
        <v>0.74919999999999998</v>
      </c>
      <c r="C190" s="2">
        <v>0.13189999999999999</v>
      </c>
      <c r="D190" s="2">
        <v>0.11890000000000001</v>
      </c>
      <c r="E190" s="2">
        <v>0</v>
      </c>
    </row>
    <row r="192" spans="1:9" ht="17.5" x14ac:dyDescent="0.35">
      <c r="A192" s="1" t="s">
        <v>115</v>
      </c>
    </row>
    <row r="194" spans="1:9" x14ac:dyDescent="0.35">
      <c r="A194" s="2"/>
      <c r="B194" s="20" t="s">
        <v>110</v>
      </c>
      <c r="C194" s="21"/>
      <c r="D194" s="21"/>
      <c r="E194" s="21"/>
      <c r="F194" s="21"/>
      <c r="G194" s="21"/>
      <c r="H194" s="21"/>
      <c r="I194" s="22"/>
    </row>
    <row r="195" spans="1:9" x14ac:dyDescent="0.35">
      <c r="A195" s="3" t="s">
        <v>150</v>
      </c>
      <c r="B195" s="3">
        <v>1</v>
      </c>
      <c r="C195" s="3" t="s">
        <v>105</v>
      </c>
      <c r="D195" s="3">
        <v>2</v>
      </c>
      <c r="E195" s="3" t="s">
        <v>105</v>
      </c>
      <c r="F195" s="3">
        <v>3</v>
      </c>
      <c r="G195" s="3" t="s">
        <v>105</v>
      </c>
      <c r="H195" s="3">
        <v>4</v>
      </c>
      <c r="I195" s="3" t="s">
        <v>105</v>
      </c>
    </row>
    <row r="196" spans="1:9" x14ac:dyDescent="0.35">
      <c r="A196" s="3" t="s">
        <v>152</v>
      </c>
      <c r="B196" s="2">
        <v>0.66510000000000002</v>
      </c>
      <c r="C196" s="2">
        <v>2715789.0655</v>
      </c>
      <c r="D196" s="2">
        <v>0.14610000000000001</v>
      </c>
      <c r="E196" s="2">
        <v>596803.54790000001</v>
      </c>
      <c r="F196" s="2">
        <v>0.1754</v>
      </c>
      <c r="G196" s="2">
        <v>3704891.5946</v>
      </c>
      <c r="H196" s="2">
        <v>1.34E-2</v>
      </c>
      <c r="I196" s="2">
        <v>392298.98129999998</v>
      </c>
    </row>
    <row r="197" spans="1:9" x14ac:dyDescent="0.35">
      <c r="A197" s="3" t="s">
        <v>156</v>
      </c>
      <c r="B197" s="2">
        <v>0.74919999999999998</v>
      </c>
      <c r="C197" s="2">
        <v>2245454.7031</v>
      </c>
      <c r="D197" s="2">
        <v>0.13189999999999999</v>
      </c>
      <c r="E197" s="2">
        <v>395209.74449999997</v>
      </c>
      <c r="F197" s="2">
        <v>0.11890000000000001</v>
      </c>
      <c r="G197" s="2">
        <v>2640664.4476000001</v>
      </c>
      <c r="H197" s="2">
        <v>0</v>
      </c>
      <c r="I197" s="2">
        <v>0</v>
      </c>
    </row>
    <row r="198" spans="1:9" x14ac:dyDescent="0.35">
      <c r="A198" s="23"/>
      <c r="B198" s="24"/>
      <c r="C198" s="24"/>
      <c r="D198" s="24"/>
      <c r="E198" s="24"/>
      <c r="F198" s="24"/>
      <c r="G198" s="24"/>
      <c r="H198" s="24"/>
      <c r="I198" s="25"/>
    </row>
    <row r="199" spans="1:9" x14ac:dyDescent="0.35">
      <c r="A199" s="2"/>
      <c r="B199" s="20" t="s">
        <v>116</v>
      </c>
      <c r="C199" s="21"/>
      <c r="D199" s="21"/>
      <c r="E199" s="21"/>
      <c r="F199" s="21"/>
      <c r="G199" s="21"/>
      <c r="H199" s="21"/>
      <c r="I199" s="22"/>
    </row>
    <row r="200" spans="1:9" x14ac:dyDescent="0.35">
      <c r="A200" s="3" t="s">
        <v>110</v>
      </c>
      <c r="B200" s="3" t="s">
        <v>88</v>
      </c>
      <c r="C200" s="3" t="s">
        <v>105</v>
      </c>
      <c r="D200" s="3" t="s">
        <v>90</v>
      </c>
      <c r="E200" s="3" t="s">
        <v>105</v>
      </c>
      <c r="F200" s="3" t="s">
        <v>91</v>
      </c>
      <c r="G200" s="3" t="s">
        <v>105</v>
      </c>
      <c r="H200" s="3" t="s">
        <v>92</v>
      </c>
      <c r="I200" s="3" t="s">
        <v>105</v>
      </c>
    </row>
    <row r="201" spans="1:9" x14ac:dyDescent="0.35">
      <c r="A201" s="3">
        <v>1</v>
      </c>
      <c r="B201" s="2">
        <v>0.9577</v>
      </c>
      <c r="C201" s="2" t="s">
        <v>11</v>
      </c>
      <c r="D201" s="2">
        <v>2.8799999999999999E-2</v>
      </c>
      <c r="E201" s="2" t="s">
        <v>11</v>
      </c>
      <c r="F201" s="2">
        <v>1.26E-2</v>
      </c>
      <c r="G201" s="2" t="s">
        <v>11</v>
      </c>
      <c r="H201" s="2">
        <v>8.9999999999999998E-4</v>
      </c>
      <c r="I201" s="2" t="s">
        <v>11</v>
      </c>
    </row>
    <row r="202" spans="1:9" x14ac:dyDescent="0.35">
      <c r="A202" s="3">
        <v>2</v>
      </c>
      <c r="B202" s="2">
        <v>0.14610000000000001</v>
      </c>
      <c r="C202" s="2" t="s">
        <v>11</v>
      </c>
      <c r="D202" s="2">
        <v>0.72319999999999995</v>
      </c>
      <c r="E202" s="2" t="s">
        <v>11</v>
      </c>
      <c r="F202" s="2">
        <v>0.13059999999999999</v>
      </c>
      <c r="G202" s="2" t="s">
        <v>11</v>
      </c>
      <c r="H202" s="2">
        <v>1E-4</v>
      </c>
      <c r="I202" s="2" t="s">
        <v>11</v>
      </c>
    </row>
    <row r="203" spans="1:9" x14ac:dyDescent="0.35">
      <c r="A203" s="3">
        <v>3</v>
      </c>
      <c r="B203" s="2">
        <v>5.9700000000000003E-2</v>
      </c>
      <c r="C203" s="2" t="s">
        <v>11</v>
      </c>
      <c r="D203" s="2">
        <v>0.1222</v>
      </c>
      <c r="E203" s="2" t="s">
        <v>11</v>
      </c>
      <c r="F203" s="2">
        <v>0.81220000000000003</v>
      </c>
      <c r="G203" s="2" t="s">
        <v>11</v>
      </c>
      <c r="H203" s="2">
        <v>5.7999999999999996E-3</v>
      </c>
      <c r="I203" s="2" t="s">
        <v>11</v>
      </c>
    </row>
    <row r="204" spans="1:9" x14ac:dyDescent="0.35">
      <c r="A204" s="3">
        <v>4</v>
      </c>
      <c r="B204" s="2">
        <v>9.6299999999999997E-2</v>
      </c>
      <c r="C204" s="2" t="s">
        <v>11</v>
      </c>
      <c r="D204" s="2">
        <v>1.8E-3</v>
      </c>
      <c r="E204" s="2" t="s">
        <v>11</v>
      </c>
      <c r="F204" s="2">
        <v>0.13189999999999999</v>
      </c>
      <c r="G204" s="2" t="s">
        <v>11</v>
      </c>
      <c r="H204" s="2">
        <v>0.77010000000000001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Table 4_suppliers</vt:lpstr>
      <vt:lpstr>Figure 1a</vt:lpstr>
      <vt:lpstr>Figure 2a</vt:lpstr>
      <vt:lpstr>Figure 3a</vt:lpstr>
      <vt:lpstr>a1 results</vt:lpstr>
      <vt:lpstr>Argentina</vt:lpstr>
      <vt:lpstr>Bolivia</vt:lpstr>
      <vt:lpstr>Ecuador</vt:lpstr>
      <vt:lpstr>Paraguay</vt:lpstr>
      <vt:lpstr>Peru</vt:lpstr>
      <vt:lpstr>Uruguay</vt:lpstr>
      <vt:lpstr>size4</vt:lpstr>
      <vt:lpstr>b2a</vt:lpstr>
      <vt:lpstr>car7</vt:lpstr>
      <vt:lpstr>mgmt</vt:lpstr>
      <vt:lpstr>isic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Karalashvili</dc:creator>
  <cp:lastModifiedBy>Nona Karalashvili</cp:lastModifiedBy>
  <dcterms:created xsi:type="dcterms:W3CDTF">2018-05-15T17:53:38Z</dcterms:created>
  <dcterms:modified xsi:type="dcterms:W3CDTF">2022-12-29T01:00:57Z</dcterms:modified>
</cp:coreProperties>
</file>